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P:\ОТЧЕТЫ\ЕИАС_Стандарты раскрытия\FAS.JKH.OPEN.INFO.BALANCE\Показатели ПФХД 2025 до 30.04.2026\"/>
    </mc:Choice>
  </mc:AlternateContent>
  <xr:revisionPtr revIDLastSave="0" documentId="13_ncr:1_{BB579BB6-3820-44A1-9613-83B4371A398E}" xr6:coauthVersionLast="47" xr6:coauthVersionMax="47" xr10:uidLastSave="{00000000-0000-0000-0000-000000000000}"/>
  <bookViews>
    <workbookView xWindow="-120" yWindow="-120" windowWidth="29040" windowHeight="15840" tabRatio="852" firstSheet="38" activeTab="38" xr2:uid="{00000000-000D-0000-FFFF-FFFF00000000}"/>
  </bookViews>
  <sheets>
    <sheet name="Инструкция" sheetId="1" state="hidden" r:id="rId1"/>
    <sheet name="Титульный" sheetId="2" state="hidden"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state="hidden"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ФХД'!$H$84:$M$84</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ФХД'!$H$45:$M$45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ФХД'!$H$36:$M$36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ФХД'!$85:$93</definedName>
    <definedName name="BLOCK_POK_FHD_COLDVSNA_P2">'Показатели ФХД'!$118:$129</definedName>
    <definedName name="BLOCK_POK_FHD_HEAT_ONLY_REG_ORG_P1">'Показатели ФХД'!$56:$57</definedName>
    <definedName name="BLOCK_POK_FHD_HEAT_ONLY_REG_ORG_P2">'Показатели ФХД'!$83:$141</definedName>
    <definedName name="BLOCK_POK_FHD_HEAT_P1">'Показатели ФХД'!$33:$40</definedName>
    <definedName name="BLOCK_POK_FHD_HEAT_P2">'Показатели ФХД'!$75:$75</definedName>
    <definedName name="BLOCK_POK_FHD_HEAT_P3">'Показатели ФХД'!$102:$114</definedName>
    <definedName name="BLOCK_POK_FHD_HEAT_P4">'Показатели ФХД'!$116:$116</definedName>
    <definedName name="BLOCK_POK_FHD_HEAT_P5">'Показатели ФХД'!$130:$140</definedName>
    <definedName name="BLOCK_POK_FHD_HEAT_P6">'Показатели ФХД'!$47:$47</definedName>
    <definedName name="BLOCK_POK_FHD_HOTVSNA_P1">'Показатели ФХД'!$41:$43</definedName>
    <definedName name="BLOCK_POK_FHD_HOTVSNA_P2">'Показатели ФХД'!$94:$98</definedName>
    <definedName name="BLOCK_POK_FHD_NOT_HEAT_P1">'Показатели ФХД'!$67:$68</definedName>
    <definedName name="BLOCK_POK_FHD_NOT_HEAT_P2">'Показатели ФХД'!$83:$83</definedName>
    <definedName name="BLOCK_POK_FHD_NOT_HOTVSNA">'Показатели ФХД'!$48:$48</definedName>
    <definedName name="BLOCK_POK_FHD_VOTV_P1">'Показатели ФХД'!$99:$101</definedName>
    <definedName name="BLOCK_POK_FHD_VSNA">'Показатели ФХД'!$117:$117</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Дифференциация!$I$12:$I$25</definedName>
    <definedName name="DIFFERENTIATION_AREA_ID">Дифференциация!$U$11:$U$26</definedName>
    <definedName name="DIFFERENTIATION_CheckC">Дифференциация!$D$12:$M$25</definedName>
    <definedName name="DIFFERENTIATION_fieldMarker">Дифференциация!$W$12:$W$25</definedName>
    <definedName name="DIFFERENTIATION_ID">TEHSHEET!$E$57</definedName>
    <definedName name="DIFFERENTIATION_ID_DIFF">Дифференциация!$O$12:$O$25</definedName>
    <definedName name="DIFFERENTIATION_SYSTEM">Дифференциация!$M$12:$M$25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Дифференциация!$Q$12:$Q$25</definedName>
    <definedName name="DIFFERENTIATION_UNMERGE_SYSTEM">Дифференциация!$R$12:$R$25</definedName>
    <definedName name="DIFFERENTIATION_UNMERGE_VD">Дифференциация!$P$12:$P$25</definedName>
    <definedName name="DIFFERENTIATION_VD">Дифференциация!$E$12:$E$25</definedName>
    <definedName name="DIFFERENTIATION_VD_ID">Дифференциация!$V$11:$V$26</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Детализация'!$14:$403</definedName>
    <definedName name="IP_DETAILED_IST_FIN_FACT_COLUMN_MARKER">'ИП. Детализация'!$AD$7</definedName>
    <definedName name="IP_DETAILED_LIST_IP_ID">'ИП. Детализация'!$A$404:$A$404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КНЭ'!$21:$24</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Комментарии!$C$11:$C$17</definedName>
    <definedName name="pDel_DIFFERENTIATION_AREA">Дифференциация!$G$12:$G$25</definedName>
    <definedName name="pDel_DIFFERENTIATION_SYSTEM">Дифференциация!$K$12:$K$25</definedName>
    <definedName name="pDel_DIFFERENTIATION_VD">Дифференциация!$C$12:$C$25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ФХД'!$F$74</definedName>
    <definedName name="pIns_B_FHD_3">'Показатели ФХД'!$F$104</definedName>
    <definedName name="pIns_B_FHD_4">'Показатели ФХД'!$F$129</definedName>
    <definedName name="pIns_B_FHD_5">'Показатели ФХД'!$F$132</definedName>
    <definedName name="pIns_B_FHD_6">'Показатели ФХД'!$F$135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Комментарии!$E$17</definedName>
    <definedName name="pIns_ED">ЭД!$E$13</definedName>
    <definedName name="pIns_IP_DETAILED">'ИП. Детализация'!$F$404</definedName>
    <definedName name="pIns_IP_FIN_PLAN">'ИП. Финансовый план'!$P$8</definedName>
    <definedName name="pIns_IP_MAIN">ИП!$G$15</definedName>
    <definedName name="pIns_IP_QRE">'ИП. КНЭ'!$F$25</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REESTR_OBJ_INFR!$A$2:$AK$19</definedName>
    <definedName name="REESTR_IP_RANGE">REESTR_IP!$A$2:$I$30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ФХД'!$M$141</definedName>
    <definedName name="tblEnd_1_B_FHD_TKO">'ТКО. Показатели ФХД'!$M$49</definedName>
    <definedName name="tblEnd_1_B_FHD_TKO_TRANS">'ТКО. Транс. Показатели ФХД'!$M$43</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Детализация'!$AH$404</definedName>
    <definedName name="tblEnd_1_IP_FIN_PLAN">'ИП. Финансовый план'!$P$58</definedName>
    <definedName name="tblEnd_1_IP_MAIN">ИП!$AB$16</definedName>
    <definedName name="tblEnd_1_IP_QRE">'ИП. КНЭ'!$FX$25</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Дифференциация!$F$12:$F$25</definedName>
    <definedName name="Y_N_DIFFERENTIATION_SYSTEM">Дифференциация!$J$12:$J$25</definedName>
    <definedName name="YEAR_IP_LIST">TEHSHEET!$BE$2:$BE$74</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M140" i="33" s="1"/>
  <c r="J101" i="63"/>
  <c r="M101" i="63" s="1"/>
  <c r="F140" i="33" s="1"/>
  <c r="I101" i="63"/>
  <c r="L101" i="63" s="1"/>
  <c r="E140" i="33" s="1"/>
  <c r="K100" i="63"/>
  <c r="N100" i="63" s="1"/>
  <c r="M139" i="33" s="1"/>
  <c r="J100" i="63"/>
  <c r="M100" i="63" s="1"/>
  <c r="F139" i="33" s="1"/>
  <c r="I100" i="63"/>
  <c r="L100" i="63" s="1"/>
  <c r="E139" i="33" s="1"/>
  <c r="K99" i="63"/>
  <c r="N99" i="63" s="1"/>
  <c r="M138" i="33" s="1"/>
  <c r="J99" i="63"/>
  <c r="M99" i="63" s="1"/>
  <c r="F138" i="33" s="1"/>
  <c r="I99" i="63"/>
  <c r="L99" i="63" s="1"/>
  <c r="E138" i="33" s="1"/>
  <c r="K98" i="63"/>
  <c r="N98" i="63" s="1"/>
  <c r="M137" i="33" s="1"/>
  <c r="J98" i="63"/>
  <c r="M98" i="63" s="1"/>
  <c r="F137" i="33" s="1"/>
  <c r="I98" i="63"/>
  <c r="L98" i="63" s="1"/>
  <c r="E137" i="33" s="1"/>
  <c r="K97" i="63"/>
  <c r="N97" i="63" s="1"/>
  <c r="M136" i="33" s="1"/>
  <c r="J97" i="63"/>
  <c r="M97" i="63" s="1"/>
  <c r="F136" i="33" s="1"/>
  <c r="I97" i="63"/>
  <c r="L97" i="63" s="1"/>
  <c r="E136" i="33" s="1"/>
  <c r="K96" i="63"/>
  <c r="N96" i="63" s="1"/>
  <c r="M133" i="33" s="1"/>
  <c r="J96" i="63"/>
  <c r="M96" i="63" s="1"/>
  <c r="F133" i="33" s="1"/>
  <c r="I96" i="63"/>
  <c r="L96" i="63" s="1"/>
  <c r="E133" i="33" s="1"/>
  <c r="E134" i="33" s="1"/>
  <c r="K95" i="63"/>
  <c r="N95" i="63" s="1"/>
  <c r="M130" i="33" s="1"/>
  <c r="J95" i="63"/>
  <c r="M95" i="63" s="1"/>
  <c r="F130" i="33" s="1"/>
  <c r="I95" i="63"/>
  <c r="L95" i="63" s="1"/>
  <c r="E130" i="33" s="1"/>
  <c r="E131" i="33" s="1"/>
  <c r="K94" i="63"/>
  <c r="N94" i="63" s="1"/>
  <c r="M120" i="33" s="1"/>
  <c r="J94" i="63"/>
  <c r="M94" i="63" s="1"/>
  <c r="F120" i="33" s="1"/>
  <c r="I94" i="63"/>
  <c r="L94" i="63" s="1"/>
  <c r="E120" i="33" s="1"/>
  <c r="K93" i="63"/>
  <c r="N93" i="63" s="1"/>
  <c r="M119" i="33" s="1"/>
  <c r="J93" i="63"/>
  <c r="M93" i="63" s="1"/>
  <c r="F119" i="33" s="1"/>
  <c r="I93" i="63"/>
  <c r="L93" i="63" s="1"/>
  <c r="E119" i="33" s="1"/>
  <c r="K92" i="63"/>
  <c r="N92" i="63" s="1"/>
  <c r="M118" i="33" s="1"/>
  <c r="J92" i="63"/>
  <c r="M92" i="63" s="1"/>
  <c r="F118" i="33" s="1"/>
  <c r="I92" i="63"/>
  <c r="L92" i="63" s="1"/>
  <c r="E118" i="33" s="1"/>
  <c r="K91" i="63"/>
  <c r="N91" i="63" s="1"/>
  <c r="M117" i="33" s="1"/>
  <c r="J91" i="63"/>
  <c r="M91" i="63" s="1"/>
  <c r="F117" i="33" s="1"/>
  <c r="I91" i="63"/>
  <c r="L91" i="63" s="1"/>
  <c r="E117" i="33" s="1"/>
  <c r="K90" i="63"/>
  <c r="N90" i="63" s="1"/>
  <c r="M116" i="33" s="1"/>
  <c r="J90" i="63"/>
  <c r="M90" i="63" s="1"/>
  <c r="F116" i="33" s="1"/>
  <c r="I90" i="63"/>
  <c r="L90" i="63" s="1"/>
  <c r="E116" i="33" s="1"/>
  <c r="K89" i="63"/>
  <c r="N89" i="63" s="1"/>
  <c r="M115" i="33" s="1"/>
  <c r="J89" i="63"/>
  <c r="M89" i="63" s="1"/>
  <c r="F115" i="33" s="1"/>
  <c r="I89" i="63"/>
  <c r="L89" i="63" s="1"/>
  <c r="E115" i="33" s="1"/>
  <c r="K88" i="63"/>
  <c r="N88" i="63" s="1"/>
  <c r="M114" i="33" s="1"/>
  <c r="J88" i="63"/>
  <c r="M88" i="63" s="1"/>
  <c r="F114" i="33" s="1"/>
  <c r="I88" i="63"/>
  <c r="L88" i="63" s="1"/>
  <c r="E114" i="33" s="1"/>
  <c r="K87" i="63"/>
  <c r="N87" i="63" s="1"/>
  <c r="M113" i="33" s="1"/>
  <c r="J87" i="63"/>
  <c r="M87" i="63" s="1"/>
  <c r="F113" i="33" s="1"/>
  <c r="I87" i="63"/>
  <c r="L87" i="63" s="1"/>
  <c r="E113" i="33" s="1"/>
  <c r="K86" i="63"/>
  <c r="N86" i="63" s="1"/>
  <c r="M112" i="33" s="1"/>
  <c r="J86" i="63"/>
  <c r="M86" i="63" s="1"/>
  <c r="F112" i="33" s="1"/>
  <c r="I86" i="63"/>
  <c r="L86" i="63" s="1"/>
  <c r="E112" i="33" s="1"/>
  <c r="K85" i="63"/>
  <c r="N85" i="63" s="1"/>
  <c r="M111" i="33" s="1"/>
  <c r="J85" i="63"/>
  <c r="M85" i="63" s="1"/>
  <c r="F111" i="33" s="1"/>
  <c r="I85" i="63"/>
  <c r="L85" i="63" s="1"/>
  <c r="E111" i="33" s="1"/>
  <c r="K84" i="63"/>
  <c r="N84" i="63" s="1"/>
  <c r="M110" i="33" s="1"/>
  <c r="J84" i="63"/>
  <c r="M84" i="63" s="1"/>
  <c r="F110" i="33" s="1"/>
  <c r="I84" i="63"/>
  <c r="L84" i="63" s="1"/>
  <c r="E110" i="33" s="1"/>
  <c r="K83" i="63"/>
  <c r="N83" i="63" s="1"/>
  <c r="M109" i="33" s="1"/>
  <c r="J83" i="63"/>
  <c r="M83" i="63" s="1"/>
  <c r="F109" i="33" s="1"/>
  <c r="I83" i="63"/>
  <c r="L83" i="63" s="1"/>
  <c r="E109" i="33" s="1"/>
  <c r="K82" i="63"/>
  <c r="N82" i="63" s="1"/>
  <c r="M108" i="33" s="1"/>
  <c r="J82" i="63"/>
  <c r="M82" i="63" s="1"/>
  <c r="F108" i="33" s="1"/>
  <c r="I82" i="63"/>
  <c r="L82" i="63" s="1"/>
  <c r="E108" i="33" s="1"/>
  <c r="K81" i="63"/>
  <c r="N81" i="63" s="1"/>
  <c r="M107" i="33" s="1"/>
  <c r="J81" i="63"/>
  <c r="M81" i="63" s="1"/>
  <c r="F107" i="33" s="1"/>
  <c r="I81" i="63"/>
  <c r="L81" i="63" s="1"/>
  <c r="E107" i="33" s="1"/>
  <c r="K80" i="63"/>
  <c r="N80" i="63" s="1"/>
  <c r="M106" i="33" s="1"/>
  <c r="J80" i="63"/>
  <c r="M80" i="63" s="1"/>
  <c r="F106" i="33" s="1"/>
  <c r="I80" i="63"/>
  <c r="L80" i="63" s="1"/>
  <c r="E106" i="33" s="1"/>
  <c r="K79" i="63"/>
  <c r="N79" i="63" s="1"/>
  <c r="M105" i="33" s="1"/>
  <c r="J79" i="63"/>
  <c r="M79" i="63" s="1"/>
  <c r="F105" i="33" s="1"/>
  <c r="I79" i="63"/>
  <c r="L79" i="63" s="1"/>
  <c r="E105" i="33" s="1"/>
  <c r="K78" i="63"/>
  <c r="N78" i="63" s="1"/>
  <c r="M102" i="33" s="1"/>
  <c r="J78" i="63"/>
  <c r="M78" i="63" s="1"/>
  <c r="F102" i="33" s="1"/>
  <c r="I78" i="63"/>
  <c r="L78" i="63" s="1"/>
  <c r="E102" i="33" s="1"/>
  <c r="E103" i="33" s="1"/>
  <c r="K77" i="63"/>
  <c r="N77" i="63" s="1"/>
  <c r="M101" i="33" s="1"/>
  <c r="J77" i="63"/>
  <c r="M77" i="63" s="1"/>
  <c r="F101" i="33" s="1"/>
  <c r="I77" i="63"/>
  <c r="L77" i="63" s="1"/>
  <c r="E101" i="33" s="1"/>
  <c r="K76" i="63"/>
  <c r="N76" i="63" s="1"/>
  <c r="M100" i="33" s="1"/>
  <c r="J76" i="63"/>
  <c r="M76" i="63" s="1"/>
  <c r="F100" i="33" s="1"/>
  <c r="I76" i="63"/>
  <c r="L76" i="63" s="1"/>
  <c r="E100" i="33" s="1"/>
  <c r="K75" i="63"/>
  <c r="N75" i="63" s="1"/>
  <c r="M99" i="33" s="1"/>
  <c r="J75" i="63"/>
  <c r="M75" i="63" s="1"/>
  <c r="F99" i="33" s="1"/>
  <c r="I75" i="63"/>
  <c r="L75" i="63" s="1"/>
  <c r="E99" i="33" s="1"/>
  <c r="K74" i="63"/>
  <c r="N74" i="63" s="1"/>
  <c r="M98" i="33" s="1"/>
  <c r="J74" i="63"/>
  <c r="M74" i="63" s="1"/>
  <c r="F98" i="33" s="1"/>
  <c r="I74" i="63"/>
  <c r="L74" i="63" s="1"/>
  <c r="E98" i="33" s="1"/>
  <c r="K73" i="63"/>
  <c r="N73" i="63" s="1"/>
  <c r="M97" i="33" s="1"/>
  <c r="J73" i="63"/>
  <c r="M73" i="63" s="1"/>
  <c r="F97" i="33" s="1"/>
  <c r="I73" i="63"/>
  <c r="L73" i="63" s="1"/>
  <c r="E97" i="33" s="1"/>
  <c r="K72" i="63"/>
  <c r="N72" i="63" s="1"/>
  <c r="M96" i="33" s="1"/>
  <c r="J72" i="63"/>
  <c r="M72" i="63" s="1"/>
  <c r="F96" i="33" s="1"/>
  <c r="I72" i="63"/>
  <c r="L72" i="63" s="1"/>
  <c r="E96" i="33" s="1"/>
  <c r="K71" i="63"/>
  <c r="N71" i="63" s="1"/>
  <c r="M95" i="33" s="1"/>
  <c r="J71" i="63"/>
  <c r="M71" i="63" s="1"/>
  <c r="F95" i="33" s="1"/>
  <c r="I71" i="63"/>
  <c r="L71" i="63" s="1"/>
  <c r="E95" i="33" s="1"/>
  <c r="K70" i="63"/>
  <c r="N70" i="63" s="1"/>
  <c r="M94" i="33" s="1"/>
  <c r="J70" i="63"/>
  <c r="M70" i="63" s="1"/>
  <c r="F94" i="33" s="1"/>
  <c r="I70" i="63"/>
  <c r="L70" i="63" s="1"/>
  <c r="E94" i="33" s="1"/>
  <c r="K69" i="63"/>
  <c r="N69" i="63" s="1"/>
  <c r="M93" i="33" s="1"/>
  <c r="J69" i="63"/>
  <c r="M69" i="63" s="1"/>
  <c r="F93" i="33" s="1"/>
  <c r="I69" i="63"/>
  <c r="L69" i="63" s="1"/>
  <c r="E93" i="33" s="1"/>
  <c r="K68" i="63"/>
  <c r="N68" i="63" s="1"/>
  <c r="M92" i="33" s="1"/>
  <c r="J68" i="63"/>
  <c r="M68" i="63" s="1"/>
  <c r="F92" i="33" s="1"/>
  <c r="I68" i="63"/>
  <c r="L68" i="63" s="1"/>
  <c r="E92" i="33" s="1"/>
  <c r="K67" i="63"/>
  <c r="N67" i="63" s="1"/>
  <c r="M91" i="33" s="1"/>
  <c r="J67" i="63"/>
  <c r="M67" i="63" s="1"/>
  <c r="F91" i="33" s="1"/>
  <c r="I67" i="63"/>
  <c r="L67" i="63" s="1"/>
  <c r="E91" i="33" s="1"/>
  <c r="K66" i="63"/>
  <c r="N66" i="63" s="1"/>
  <c r="M90" i="33" s="1"/>
  <c r="J66" i="63"/>
  <c r="M66" i="63" s="1"/>
  <c r="F90" i="33" s="1"/>
  <c r="I66" i="63"/>
  <c r="L66" i="63" s="1"/>
  <c r="E90" i="33" s="1"/>
  <c r="K65" i="63"/>
  <c r="N65" i="63" s="1"/>
  <c r="M89" i="33" s="1"/>
  <c r="J65" i="63"/>
  <c r="M65" i="63" s="1"/>
  <c r="F89" i="33" s="1"/>
  <c r="I65" i="63"/>
  <c r="L65" i="63" s="1"/>
  <c r="E89" i="33" s="1"/>
  <c r="K64" i="63"/>
  <c r="N64" i="63" s="1"/>
  <c r="M88" i="33" s="1"/>
  <c r="J64" i="63"/>
  <c r="M64" i="63" s="1"/>
  <c r="F88" i="33" s="1"/>
  <c r="I64" i="63"/>
  <c r="L64" i="63" s="1"/>
  <c r="E88" i="33" s="1"/>
  <c r="K63" i="63"/>
  <c r="N63" i="63" s="1"/>
  <c r="M87" i="33" s="1"/>
  <c r="J63" i="63"/>
  <c r="M63" i="63" s="1"/>
  <c r="F87" i="33" s="1"/>
  <c r="I63" i="63"/>
  <c r="L63" i="63" s="1"/>
  <c r="E87" i="33" s="1"/>
  <c r="K62" i="63"/>
  <c r="N62" i="63" s="1"/>
  <c r="M86" i="33" s="1"/>
  <c r="J62" i="63"/>
  <c r="M62" i="63" s="1"/>
  <c r="F86" i="33" s="1"/>
  <c r="I62" i="63"/>
  <c r="L62" i="63" s="1"/>
  <c r="E86" i="33" s="1"/>
  <c r="K61" i="63"/>
  <c r="N61" i="63" s="1"/>
  <c r="M85" i="33" s="1"/>
  <c r="J61" i="63"/>
  <c r="M61" i="63" s="1"/>
  <c r="F85" i="33" s="1"/>
  <c r="I61" i="63"/>
  <c r="L61" i="63" s="1"/>
  <c r="E85" i="33" s="1"/>
  <c r="K60" i="63"/>
  <c r="N60" i="63" s="1"/>
  <c r="M84" i="33" s="1"/>
  <c r="J60" i="63"/>
  <c r="M60" i="63" s="1"/>
  <c r="F84" i="33" s="1"/>
  <c r="I60" i="63"/>
  <c r="L60" i="63" s="1"/>
  <c r="E84" i="33" s="1"/>
  <c r="K59" i="63"/>
  <c r="N59" i="63" s="1"/>
  <c r="M83" i="33" s="1"/>
  <c r="J59" i="63"/>
  <c r="M59" i="63" s="1"/>
  <c r="F83" i="33" s="1"/>
  <c r="I59" i="63"/>
  <c r="L59" i="63" s="1"/>
  <c r="E83" i="33" s="1"/>
  <c r="T58" i="63"/>
  <c r="K58" i="63"/>
  <c r="N58" i="63" s="1"/>
  <c r="M82" i="33" s="1"/>
  <c r="J58" i="63"/>
  <c r="M58" i="63" s="1"/>
  <c r="F82" i="33" s="1"/>
  <c r="I58" i="63"/>
  <c r="L58" i="63" s="1"/>
  <c r="E82" i="33" s="1"/>
  <c r="T57" i="63"/>
  <c r="K57" i="63"/>
  <c r="N57" i="63" s="1"/>
  <c r="M81" i="33" s="1"/>
  <c r="J57" i="63"/>
  <c r="M57" i="63" s="1"/>
  <c r="F81" i="33" s="1"/>
  <c r="I57" i="63"/>
  <c r="L57" i="63" s="1"/>
  <c r="E81" i="33" s="1"/>
  <c r="T56" i="63"/>
  <c r="K56" i="63"/>
  <c r="N56" i="63" s="1"/>
  <c r="M80" i="33" s="1"/>
  <c r="J56" i="63"/>
  <c r="M56" i="63" s="1"/>
  <c r="F80" i="33" s="1"/>
  <c r="I56" i="63"/>
  <c r="L56" i="63" s="1"/>
  <c r="E80" i="33" s="1"/>
  <c r="T55" i="63"/>
  <c r="K55" i="63"/>
  <c r="N55" i="63" s="1"/>
  <c r="M79" i="33" s="1"/>
  <c r="J55" i="63"/>
  <c r="M55" i="63" s="1"/>
  <c r="F79" i="33" s="1"/>
  <c r="I55" i="63"/>
  <c r="L55" i="63" s="1"/>
  <c r="E79" i="33" s="1"/>
  <c r="K54" i="63"/>
  <c r="N54" i="63" s="1"/>
  <c r="M78" i="33" s="1"/>
  <c r="J54" i="63"/>
  <c r="M54" i="63" s="1"/>
  <c r="F78" i="33" s="1"/>
  <c r="I54" i="63"/>
  <c r="L54" i="63" s="1"/>
  <c r="E78" i="33" s="1"/>
  <c r="K53" i="63"/>
  <c r="N53" i="63" s="1"/>
  <c r="M77" i="33" s="1"/>
  <c r="J53" i="63"/>
  <c r="M53" i="63" s="1"/>
  <c r="F77" i="33" s="1"/>
  <c r="I53" i="63"/>
  <c r="L53" i="63" s="1"/>
  <c r="E77" i="33" s="1"/>
  <c r="K52" i="63"/>
  <c r="N52" i="63" s="1"/>
  <c r="M76" i="33" s="1"/>
  <c r="J52" i="63"/>
  <c r="M52" i="63" s="1"/>
  <c r="F76" i="33" s="1"/>
  <c r="I52" i="63"/>
  <c r="L52" i="63" s="1"/>
  <c r="E76" i="33" s="1"/>
  <c r="K51" i="63"/>
  <c r="N51" i="63" s="1"/>
  <c r="M75" i="33" s="1"/>
  <c r="J51" i="63"/>
  <c r="M51" i="63" s="1"/>
  <c r="F75" i="33" s="1"/>
  <c r="I51" i="63"/>
  <c r="L51" i="63" s="1"/>
  <c r="E75" i="33" s="1"/>
  <c r="K50" i="63"/>
  <c r="N50" i="63" s="1"/>
  <c r="M69" i="33" s="1"/>
  <c r="J50" i="63"/>
  <c r="M50" i="63" s="1"/>
  <c r="F69" i="33" s="1"/>
  <c r="I50" i="63"/>
  <c r="L50" i="63" s="1"/>
  <c r="E69" i="33" s="1"/>
  <c r="K49" i="63"/>
  <c r="N49" i="63" s="1"/>
  <c r="M68" i="33" s="1"/>
  <c r="O68" i="33" s="1"/>
  <c r="J49" i="63"/>
  <c r="M49" i="63" s="1"/>
  <c r="F68" i="33" s="1"/>
  <c r="I49" i="63"/>
  <c r="L49" i="63" s="1"/>
  <c r="E68" i="33" s="1"/>
  <c r="N68" i="33" s="1"/>
  <c r="K48" i="63"/>
  <c r="N48" i="63" s="1"/>
  <c r="M67" i="33" s="1"/>
  <c r="J48" i="63"/>
  <c r="M48" i="63" s="1"/>
  <c r="F67" i="33" s="1"/>
  <c r="I48" i="63"/>
  <c r="L48" i="63" s="1"/>
  <c r="E67" i="33" s="1"/>
  <c r="N67" i="33" s="1"/>
  <c r="K47" i="63"/>
  <c r="N47" i="63" s="1"/>
  <c r="M66" i="33" s="1"/>
  <c r="O66" i="33" s="1"/>
  <c r="J47" i="63"/>
  <c r="M47" i="63" s="1"/>
  <c r="F66" i="33" s="1"/>
  <c r="I47" i="63"/>
  <c r="L47" i="63" s="1"/>
  <c r="E66" i="33" s="1"/>
  <c r="N66" i="33" s="1"/>
  <c r="T46" i="63"/>
  <c r="K46" i="63"/>
  <c r="N46" i="63" s="1"/>
  <c r="M65" i="33" s="1"/>
  <c r="J46" i="63"/>
  <c r="M46" i="63" s="1"/>
  <c r="F65" i="33" s="1"/>
  <c r="I46" i="63"/>
  <c r="L46" i="63" s="1"/>
  <c r="E65" i="33" s="1"/>
  <c r="N65" i="33" s="1"/>
  <c r="K45" i="63"/>
  <c r="N45" i="63" s="1"/>
  <c r="M64" i="33" s="1"/>
  <c r="J45" i="63"/>
  <c r="M45" i="63" s="1"/>
  <c r="F64" i="33" s="1"/>
  <c r="I45" i="63"/>
  <c r="L45" i="63" s="1"/>
  <c r="E64" i="33" s="1"/>
  <c r="N64" i="33" s="1"/>
  <c r="K44" i="63"/>
  <c r="N44" i="63" s="1"/>
  <c r="M63" i="33" s="1"/>
  <c r="J44" i="63"/>
  <c r="M44" i="63" s="1"/>
  <c r="F63" i="33" s="1"/>
  <c r="I44" i="63"/>
  <c r="L44" i="63" s="1"/>
  <c r="E63" i="33" s="1"/>
  <c r="N63" i="33" s="1"/>
  <c r="K43" i="63"/>
  <c r="N43" i="63" s="1"/>
  <c r="M62" i="33" s="1"/>
  <c r="J43" i="63"/>
  <c r="M43" i="63" s="1"/>
  <c r="F62" i="33" s="1"/>
  <c r="I43" i="63"/>
  <c r="L43" i="63" s="1"/>
  <c r="E62" i="33" s="1"/>
  <c r="N62" i="33" s="1"/>
  <c r="K42" i="63"/>
  <c r="N42" i="63" s="1"/>
  <c r="M61" i="33" s="1"/>
  <c r="J42" i="63"/>
  <c r="M42" i="63" s="1"/>
  <c r="F61" i="33" s="1"/>
  <c r="I42" i="63"/>
  <c r="L42" i="63" s="1"/>
  <c r="E61" i="33" s="1"/>
  <c r="N61" i="33" s="1"/>
  <c r="K41" i="63"/>
  <c r="N41" i="63" s="1"/>
  <c r="M60" i="33" s="1"/>
  <c r="J41" i="63"/>
  <c r="M41" i="63" s="1"/>
  <c r="F60" i="33" s="1"/>
  <c r="I41" i="63"/>
  <c r="L41" i="63" s="1"/>
  <c r="E60" i="33" s="1"/>
  <c r="N60" i="33" s="1"/>
  <c r="K40" i="63"/>
  <c r="N40" i="63" s="1"/>
  <c r="M59" i="33" s="1"/>
  <c r="J40" i="63"/>
  <c r="M40" i="63" s="1"/>
  <c r="F59" i="33" s="1"/>
  <c r="I40" i="63"/>
  <c r="L40" i="63" s="1"/>
  <c r="E59" i="33" s="1"/>
  <c r="N59" i="33" s="1"/>
  <c r="K39" i="63"/>
  <c r="N39" i="63" s="1"/>
  <c r="M58" i="33" s="1"/>
  <c r="J39" i="63"/>
  <c r="M39" i="63" s="1"/>
  <c r="F58" i="33" s="1"/>
  <c r="I39" i="63"/>
  <c r="L39" i="63" s="1"/>
  <c r="E58" i="33" s="1"/>
  <c r="N58" i="33" s="1"/>
  <c r="K38" i="63"/>
  <c r="N38" i="63" s="1"/>
  <c r="M57" i="33" s="1"/>
  <c r="J38" i="63"/>
  <c r="M38" i="63" s="1"/>
  <c r="F57" i="33" s="1"/>
  <c r="I38" i="63"/>
  <c r="L38" i="63" s="1"/>
  <c r="E57" i="33" s="1"/>
  <c r="N57" i="33" s="1"/>
  <c r="K37" i="63"/>
  <c r="N37" i="63" s="1"/>
  <c r="M56" i="33" s="1"/>
  <c r="J37" i="63"/>
  <c r="M37" i="63" s="1"/>
  <c r="F56" i="33" s="1"/>
  <c r="I37" i="63"/>
  <c r="L37" i="63" s="1"/>
  <c r="E56" i="33" s="1"/>
  <c r="N56" i="33" s="1"/>
  <c r="K36" i="63"/>
  <c r="N36" i="63" s="1"/>
  <c r="M55" i="33" s="1"/>
  <c r="J36" i="63"/>
  <c r="M36" i="63" s="1"/>
  <c r="F55" i="33" s="1"/>
  <c r="I36" i="63"/>
  <c r="L36" i="63" s="1"/>
  <c r="E55" i="33" s="1"/>
  <c r="N55" i="33" s="1"/>
  <c r="T35" i="63"/>
  <c r="K35" i="63"/>
  <c r="N35" i="63" s="1"/>
  <c r="M54" i="33" s="1"/>
  <c r="J35" i="63"/>
  <c r="M35" i="63" s="1"/>
  <c r="F54" i="33" s="1"/>
  <c r="I35" i="63"/>
  <c r="L35" i="63" s="1"/>
  <c r="E54" i="33" s="1"/>
  <c r="N54" i="33" s="1"/>
  <c r="K34" i="63"/>
  <c r="N34" i="63" s="1"/>
  <c r="M53" i="33" s="1"/>
  <c r="J34" i="63"/>
  <c r="M34" i="63" s="1"/>
  <c r="F53" i="33" s="1"/>
  <c r="I34" i="63"/>
  <c r="L34" i="63" s="1"/>
  <c r="E53" i="33" s="1"/>
  <c r="N53" i="33" s="1"/>
  <c r="T33" i="63"/>
  <c r="K33" i="63"/>
  <c r="N33" i="63" s="1"/>
  <c r="M52" i="33" s="1"/>
  <c r="J33" i="63"/>
  <c r="M33" i="63" s="1"/>
  <c r="F52" i="33" s="1"/>
  <c r="I33" i="63"/>
  <c r="L33" i="63" s="1"/>
  <c r="E52" i="33" s="1"/>
  <c r="N52" i="33" s="1"/>
  <c r="T32" i="63"/>
  <c r="K32" i="63"/>
  <c r="N32" i="63" s="1"/>
  <c r="M51" i="33" s="1"/>
  <c r="J32" i="63"/>
  <c r="M32" i="63" s="1"/>
  <c r="F51" i="33" s="1"/>
  <c r="I32" i="63"/>
  <c r="L32" i="63" s="1"/>
  <c r="E51" i="33" s="1"/>
  <c r="N51" i="33" s="1"/>
  <c r="K31" i="63"/>
  <c r="N31" i="63" s="1"/>
  <c r="M50" i="33" s="1"/>
  <c r="J31" i="63"/>
  <c r="M31" i="63" s="1"/>
  <c r="F50" i="33" s="1"/>
  <c r="I31" i="63"/>
  <c r="L31" i="63" s="1"/>
  <c r="E50" i="33" s="1"/>
  <c r="N50" i="33" s="1"/>
  <c r="K30" i="63"/>
  <c r="N30" i="63" s="1"/>
  <c r="M49" i="33" s="1"/>
  <c r="J30" i="63"/>
  <c r="M30" i="63" s="1"/>
  <c r="F49" i="33" s="1"/>
  <c r="I30" i="63"/>
  <c r="L30" i="63" s="1"/>
  <c r="E49" i="33" s="1"/>
  <c r="N49" i="33" s="1"/>
  <c r="T29" i="63"/>
  <c r="K29" i="63"/>
  <c r="N29" i="63" s="1"/>
  <c r="M48" i="33" s="1"/>
  <c r="J29" i="63"/>
  <c r="M29" i="63" s="1"/>
  <c r="F48" i="33" s="1"/>
  <c r="I29" i="63"/>
  <c r="L29" i="63" s="1"/>
  <c r="E48" i="33" s="1"/>
  <c r="N48" i="33" s="1"/>
  <c r="K28" i="63"/>
  <c r="N28" i="63" s="1"/>
  <c r="M47" i="33" s="1"/>
  <c r="J28" i="63"/>
  <c r="M28" i="63" s="1"/>
  <c r="F47" i="33" s="1"/>
  <c r="I28" i="63"/>
  <c r="L28" i="63" s="1"/>
  <c r="E47" i="33" s="1"/>
  <c r="N47" i="33" s="1"/>
  <c r="K27" i="63"/>
  <c r="N27" i="63" s="1"/>
  <c r="M46" i="33" s="1"/>
  <c r="J27" i="63"/>
  <c r="M27" i="63" s="1"/>
  <c r="F46" i="33" s="1"/>
  <c r="I27" i="63"/>
  <c r="L27" i="63" s="1"/>
  <c r="E46" i="33" s="1"/>
  <c r="N46" i="33" s="1"/>
  <c r="T26" i="63"/>
  <c r="K26" i="63"/>
  <c r="N26" i="63" s="1"/>
  <c r="M45" i="33" s="1"/>
  <c r="J26" i="63"/>
  <c r="M26" i="63" s="1"/>
  <c r="F45" i="33" s="1"/>
  <c r="I26" i="63"/>
  <c r="L26" i="63" s="1"/>
  <c r="E45" i="33" s="1"/>
  <c r="N45" i="33" s="1"/>
  <c r="K25" i="63"/>
  <c r="N25" i="63" s="1"/>
  <c r="M44" i="33" s="1"/>
  <c r="J25" i="63"/>
  <c r="M25" i="63" s="1"/>
  <c r="F44" i="33" s="1"/>
  <c r="I25" i="63"/>
  <c r="L25" i="63" s="1"/>
  <c r="E44" i="33" s="1"/>
  <c r="N44" i="33" s="1"/>
  <c r="K24" i="63"/>
  <c r="N24" i="63" s="1"/>
  <c r="M43" i="33" s="1"/>
  <c r="J24" i="63"/>
  <c r="M24" i="63" s="1"/>
  <c r="F43" i="33" s="1"/>
  <c r="I24" i="63"/>
  <c r="L24" i="63" s="1"/>
  <c r="E43" i="33" s="1"/>
  <c r="N43" i="33" s="1"/>
  <c r="K23" i="63"/>
  <c r="N23" i="63" s="1"/>
  <c r="M42" i="33" s="1"/>
  <c r="J23" i="63"/>
  <c r="M23" i="63" s="1"/>
  <c r="F42" i="33" s="1"/>
  <c r="I23" i="63"/>
  <c r="L23" i="63" s="1"/>
  <c r="E42" i="33" s="1"/>
  <c r="N42" i="33" s="1"/>
  <c r="K22" i="63"/>
  <c r="N22" i="63" s="1"/>
  <c r="M41" i="33" s="1"/>
  <c r="J22" i="63"/>
  <c r="M22" i="63" s="1"/>
  <c r="F41" i="33" s="1"/>
  <c r="I22" i="63"/>
  <c r="L22" i="63" s="1"/>
  <c r="E41" i="33" s="1"/>
  <c r="N41" i="33" s="1"/>
  <c r="K21" i="63"/>
  <c r="N21" i="63" s="1"/>
  <c r="M33" i="33" s="1"/>
  <c r="J21" i="63"/>
  <c r="M21" i="63" s="1"/>
  <c r="F33" i="33" s="1"/>
  <c r="I21" i="63"/>
  <c r="L21" i="63" s="1"/>
  <c r="E33" i="33" s="1"/>
  <c r="K20" i="63"/>
  <c r="N20" i="63" s="1"/>
  <c r="M32" i="33" s="1"/>
  <c r="J20" i="63"/>
  <c r="M20" i="63" s="1"/>
  <c r="F32" i="33" s="1"/>
  <c r="I20" i="63"/>
  <c r="L20" i="63" s="1"/>
  <c r="E32" i="33" s="1"/>
  <c r="N32" i="33" s="1"/>
  <c r="K19" i="63"/>
  <c r="N19" i="63" s="1"/>
  <c r="M31" i="33" s="1"/>
  <c r="J19" i="63"/>
  <c r="M19" i="63" s="1"/>
  <c r="F31" i="33" s="1"/>
  <c r="I19" i="63"/>
  <c r="L19" i="63" s="1"/>
  <c r="E31" i="33" s="1"/>
  <c r="K18" i="63"/>
  <c r="N18" i="63" s="1"/>
  <c r="M30" i="33" s="1"/>
  <c r="J18" i="63"/>
  <c r="M18" i="63" s="1"/>
  <c r="F30" i="33" s="1"/>
  <c r="I18" i="63"/>
  <c r="L18" i="63" s="1"/>
  <c r="E30" i="33" s="1"/>
  <c r="N14" i="63"/>
  <c r="M13" i="63"/>
  <c r="M12" i="63"/>
  <c r="M11" i="63"/>
  <c r="N3" i="63"/>
  <c r="C34" i="62"/>
  <c r="C8" i="62"/>
  <c r="C7" i="62"/>
  <c r="E5" i="34" s="1"/>
  <c r="D6"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I29" i="61"/>
  <c r="I23" i="61"/>
  <c r="O19" i="61"/>
  <c r="M19" i="61" a="1"/>
  <c r="M19" i="61"/>
  <c r="F19" i="61"/>
  <c r="O14" i="61"/>
  <c r="M14" i="61" a="1"/>
  <c r="M14" i="61"/>
  <c r="F14" i="61"/>
  <c r="E14" i="61"/>
  <c r="E13" i="61"/>
  <c r="G13" i="61" s="1"/>
  <c r="F13" i="56"/>
  <c r="E7" i="56"/>
  <c r="F2" i="56"/>
  <c r="P10" i="55" a="1"/>
  <c r="P10" i="55"/>
  <c r="M10" i="55"/>
  <c r="K8" i="55"/>
  <c r="L10" i="55" s="1"/>
  <c r="R10" i="55" s="1"/>
  <c r="R2" i="55"/>
  <c r="P2" i="55" a="1"/>
  <c r="P2" i="55"/>
  <c r="M2" i="55"/>
  <c r="P10" i="54" a="1"/>
  <c r="P10" i="54"/>
  <c r="M10" i="54"/>
  <c r="K8" i="54"/>
  <c r="J8" i="54"/>
  <c r="G8" i="54"/>
  <c r="F8" i="54"/>
  <c r="L10" i="54" s="1"/>
  <c r="R10" i="54" s="1"/>
  <c r="R2" i="54"/>
  <c r="P2" i="54" a="1"/>
  <c r="P2" i="54"/>
  <c r="M2" i="54"/>
  <c r="N9" i="53" a="1"/>
  <c r="N9" i="53"/>
  <c r="J9" i="53"/>
  <c r="P9" i="53" s="1"/>
  <c r="E5" i="53"/>
  <c r="P2" i="53"/>
  <c r="N2" i="53" a="1"/>
  <c r="N2" i="53"/>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J45" i="51"/>
  <c r="I45" i="51"/>
  <c r="G44" i="51"/>
  <c r="G36" i="51"/>
  <c r="F36" i="51"/>
  <c r="F32" i="51"/>
  <c r="E32" i="51"/>
  <c r="F29" i="51"/>
  <c r="E29" i="51"/>
  <c r="L5" i="51"/>
  <c r="L4" i="51"/>
  <c r="L3" i="51"/>
  <c r="L6" i="51" s="1"/>
  <c r="O14" i="50"/>
  <c r="M14" i="50"/>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K19" i="45"/>
  <c r="J19" i="45"/>
  <c r="I19" i="45"/>
  <c r="H19" i="45"/>
  <c r="G19" i="45"/>
  <c r="F19" i="45"/>
  <c r="L18" i="45"/>
  <c r="E17" i="45"/>
  <c r="E16" i="45"/>
  <c r="E15" i="45"/>
  <c r="K14" i="45"/>
  <c r="J14" i="45"/>
  <c r="I14" i="45"/>
  <c r="H14" i="45"/>
  <c r="G14" i="45"/>
  <c r="G11" i="45"/>
  <c r="G10" i="45"/>
  <c r="G9" i="45"/>
  <c r="D6" i="45"/>
  <c r="F2" i="45"/>
  <c r="F21" i="44"/>
  <c r="F6" i="44"/>
  <c r="K57" i="43"/>
  <c r="H57" i="43"/>
  <c r="K56" i="43"/>
  <c r="H56" i="43"/>
  <c r="K55" i="43"/>
  <c r="H55" i="43"/>
  <c r="N54" i="43"/>
  <c r="M54" i="43"/>
  <c r="L54" i="43"/>
  <c r="K54" i="43"/>
  <c r="I54" i="43"/>
  <c r="H54" i="43"/>
  <c r="K53" i="43"/>
  <c r="H53" i="43"/>
  <c r="K52" i="43"/>
  <c r="H52" i="43"/>
  <c r="K51" i="43"/>
  <c r="H51" i="43"/>
  <c r="K50" i="43"/>
  <c r="H50" i="43"/>
  <c r="N49" i="43"/>
  <c r="M49" i="43"/>
  <c r="L49" i="43"/>
  <c r="K49" i="43"/>
  <c r="I49" i="43"/>
  <c r="H49" i="43"/>
  <c r="N48" i="43"/>
  <c r="M48" i="43"/>
  <c r="L48" i="43"/>
  <c r="K48" i="43"/>
  <c r="I48" i="43"/>
  <c r="H48" i="43"/>
  <c r="K47" i="43"/>
  <c r="H47" i="43"/>
  <c r="K46" i="43"/>
  <c r="H46" i="43"/>
  <c r="K45" i="43"/>
  <c r="H45" i="43"/>
  <c r="N44" i="43"/>
  <c r="M44" i="43"/>
  <c r="L44" i="43"/>
  <c r="K44" i="43"/>
  <c r="I44" i="43"/>
  <c r="H44" i="43"/>
  <c r="K43" i="43"/>
  <c r="H43" i="43"/>
  <c r="K42" i="43"/>
  <c r="H42" i="43"/>
  <c r="K41" i="43"/>
  <c r="H41" i="43"/>
  <c r="K40" i="43"/>
  <c r="H40" i="43"/>
  <c r="N39" i="43"/>
  <c r="M39" i="43"/>
  <c r="L39" i="43"/>
  <c r="K39" i="43"/>
  <c r="I39" i="43"/>
  <c r="H39" i="43"/>
  <c r="N38" i="43"/>
  <c r="N58" i="43" s="1"/>
  <c r="M38" i="43"/>
  <c r="M58" i="43" s="1"/>
  <c r="L38" i="43"/>
  <c r="L58" i="43" s="1"/>
  <c r="K58" i="43" s="1"/>
  <c r="K38" i="43"/>
  <c r="I38" i="43"/>
  <c r="I58" i="43" s="1"/>
  <c r="H58" i="43" s="1"/>
  <c r="H38" i="43"/>
  <c r="N36" i="43"/>
  <c r="K35" i="43"/>
  <c r="H35" i="43"/>
  <c r="K34" i="43"/>
  <c r="H34" i="43"/>
  <c r="K33" i="43"/>
  <c r="H33" i="43"/>
  <c r="N32" i="43"/>
  <c r="M32" i="43"/>
  <c r="L32" i="43"/>
  <c r="K32" i="43"/>
  <c r="I32" i="43"/>
  <c r="H32" i="43"/>
  <c r="K31" i="43"/>
  <c r="H31" i="43"/>
  <c r="K30" i="43"/>
  <c r="H30" i="43"/>
  <c r="K29" i="43"/>
  <c r="H29" i="43"/>
  <c r="N28" i="43"/>
  <c r="M28" i="43"/>
  <c r="L28" i="43"/>
  <c r="K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N15" i="43"/>
  <c r="M15" i="43"/>
  <c r="M36" i="43" s="1"/>
  <c r="L15" i="43"/>
  <c r="L36" i="43" s="1"/>
  <c r="K36" i="43" s="1"/>
  <c r="K15" i="43"/>
  <c r="I15" i="43"/>
  <c r="I36" i="43" s="1"/>
  <c r="H36" i="43" s="1"/>
  <c r="H15" i="43"/>
  <c r="K11" i="43"/>
  <c r="H11" i="43"/>
  <c r="F6" i="43"/>
  <c r="AD400" i="42"/>
  <c r="AC400" i="42"/>
  <c r="AD399" i="42"/>
  <c r="AC399" i="42"/>
  <c r="AD394" i="42"/>
  <c r="AC394" i="42"/>
  <c r="AD393" i="42"/>
  <c r="AC393" i="42"/>
  <c r="AD388" i="42"/>
  <c r="AC388" i="42"/>
  <c r="AD387" i="42"/>
  <c r="AC387" i="42"/>
  <c r="AD382" i="42"/>
  <c r="AC382" i="42"/>
  <c r="AD381" i="42"/>
  <c r="AC381" i="42"/>
  <c r="AD376" i="42"/>
  <c r="AD371" i="42"/>
  <c r="AD368" i="42"/>
  <c r="AD365" i="42"/>
  <c r="AC365" i="42"/>
  <c r="AE364" i="42"/>
  <c r="AD364" i="42"/>
  <c r="AC364" i="42"/>
  <c r="AD359" i="42"/>
  <c r="AC359" i="42"/>
  <c r="AD358" i="42"/>
  <c r="AC358" i="42"/>
  <c r="AD353" i="42"/>
  <c r="AD348" i="42"/>
  <c r="AC348" i="42"/>
  <c r="AD347" i="42"/>
  <c r="AC347" i="42"/>
  <c r="AD342" i="42"/>
  <c r="AD341" i="42"/>
  <c r="AE338" i="42"/>
  <c r="AD338" i="42"/>
  <c r="AC338" i="42"/>
  <c r="AD337" i="42"/>
  <c r="AC337" i="42"/>
  <c r="AD332" i="42"/>
  <c r="AD321" i="42"/>
  <c r="AE316" i="42"/>
  <c r="AD316" i="42"/>
  <c r="AE313" i="42"/>
  <c r="AD313" i="42"/>
  <c r="AD308" i="42"/>
  <c r="AD303" i="42"/>
  <c r="AD300" i="42"/>
  <c r="AD297" i="42"/>
  <c r="AD292" i="42"/>
  <c r="AD287" i="42"/>
  <c r="AD282" i="42"/>
  <c r="AD277" i="42"/>
  <c r="AD272" i="42"/>
  <c r="AD267" i="42"/>
  <c r="AD264" i="42"/>
  <c r="AD259" i="42"/>
  <c r="AD254" i="42"/>
  <c r="AD249" i="42"/>
  <c r="AD246" i="42"/>
  <c r="AD241" i="42"/>
  <c r="AD230" i="42"/>
  <c r="AD225" i="42"/>
  <c r="AD220" i="42"/>
  <c r="AC220" i="42"/>
  <c r="AD219" i="42"/>
  <c r="AD218" i="42"/>
  <c r="AC218" i="42"/>
  <c r="AD213" i="42"/>
  <c r="AD210" i="42"/>
  <c r="AD205" i="42"/>
  <c r="AD200" i="42"/>
  <c r="AC200" i="42"/>
  <c r="AE197" i="42"/>
  <c r="AD197" i="42"/>
  <c r="AC197" i="42"/>
  <c r="AD192" i="42"/>
  <c r="AC192" i="42"/>
  <c r="AE189" i="42"/>
  <c r="AD189" i="42"/>
  <c r="AC189" i="42"/>
  <c r="AD184" i="42"/>
  <c r="AD179" i="42"/>
  <c r="AD174" i="42"/>
  <c r="AD169" i="42"/>
  <c r="AD164" i="42"/>
  <c r="AD161" i="42"/>
  <c r="AD160" i="42"/>
  <c r="AD159" i="42"/>
  <c r="AD154" i="42"/>
  <c r="AD153" i="42"/>
  <c r="AC153" i="42"/>
  <c r="AD148" i="42"/>
  <c r="AD143" i="42"/>
  <c r="AD138" i="42"/>
  <c r="AD133" i="42"/>
  <c r="AD128" i="42"/>
  <c r="AD123" i="42"/>
  <c r="AD118" i="42"/>
  <c r="AD113" i="42"/>
  <c r="AD108" i="42"/>
  <c r="AD107" i="42"/>
  <c r="AD106" i="42"/>
  <c r="AD101" i="42"/>
  <c r="AD96" i="42"/>
  <c r="AC96" i="42"/>
  <c r="AD95" i="42"/>
  <c r="AC95" i="42"/>
  <c r="AD90" i="42"/>
  <c r="AD89" i="42"/>
  <c r="AD84" i="42"/>
  <c r="AD79" i="42"/>
  <c r="AD78" i="42"/>
  <c r="AD68" i="42"/>
  <c r="AD63" i="42"/>
  <c r="AD60" i="42"/>
  <c r="AD57" i="42"/>
  <c r="AD47" i="42"/>
  <c r="AD42" i="42"/>
  <c r="AD37" i="42"/>
  <c r="AD32" i="42"/>
  <c r="AD27" i="42"/>
  <c r="AD22" i="42"/>
  <c r="F14" i="42"/>
  <c r="F6" i="42"/>
  <c r="H17" i="41"/>
  <c r="P13" i="41"/>
  <c r="F6" i="41"/>
  <c r="G28" i="40"/>
  <c r="G27" i="40"/>
  <c r="G26" i="40"/>
  <c r="D23" i="40"/>
  <c r="D14" i="40"/>
  <c r="D13" i="40"/>
  <c r="D11" i="40"/>
  <c r="D10" i="40"/>
  <c r="D9" i="40"/>
  <c r="D7" i="40"/>
  <c r="D6" i="40"/>
  <c r="D4" i="40"/>
  <c r="D3" i="40"/>
  <c r="P12" i="39"/>
  <c r="O12" i="39"/>
  <c r="N12" i="39"/>
  <c r="M12" i="39"/>
  <c r="L12" i="39"/>
  <c r="K12" i="39"/>
  <c r="J12" i="39"/>
  <c r="I12" i="39"/>
  <c r="H12" i="39"/>
  <c r="G12" i="39"/>
  <c r="G9" i="39"/>
  <c r="G8" i="39"/>
  <c r="G7" i="39"/>
  <c r="D4" i="39"/>
  <c r="E28" i="38"/>
  <c r="L27" i="38"/>
  <c r="K27" i="38"/>
  <c r="J27" i="38"/>
  <c r="I27" i="38"/>
  <c r="H27" i="38"/>
  <c r="L16" i="38"/>
  <c r="K16" i="38"/>
  <c r="J16" i="38"/>
  <c r="I16" i="38"/>
  <c r="H16" i="38"/>
  <c r="H12" i="38"/>
  <c r="H11" i="38"/>
  <c r="H10" i="38"/>
  <c r="E7" i="38"/>
  <c r="E33" i="37"/>
  <c r="L32" i="37"/>
  <c r="K32" i="37"/>
  <c r="J32" i="37"/>
  <c r="I32" i="37"/>
  <c r="H32" i="37"/>
  <c r="L16" i="37"/>
  <c r="K16" i="37"/>
  <c r="J16" i="37"/>
  <c r="I16" i="37"/>
  <c r="H16" i="37"/>
  <c r="H12" i="37"/>
  <c r="H11" i="37"/>
  <c r="H10" i="37"/>
  <c r="E7" i="37"/>
  <c r="I6" i="36"/>
  <c r="F2" i="36"/>
  <c r="E2" i="36"/>
  <c r="L12" i="35"/>
  <c r="L11" i="35"/>
  <c r="L10" i="35"/>
  <c r="I7" i="35"/>
  <c r="P3" i="35"/>
  <c r="O3" i="35"/>
  <c r="N3" i="35"/>
  <c r="L3" i="35"/>
  <c r="F2" i="35"/>
  <c r="E2" i="35"/>
  <c r="V47" i="34"/>
  <c r="Q47" i="34"/>
  <c r="V44" i="34"/>
  <c r="Q44" i="34"/>
  <c r="V38" i="34"/>
  <c r="Q38" i="34"/>
  <c r="V35" i="34"/>
  <c r="Q35" i="34"/>
  <c r="V29" i="34"/>
  <c r="Q29" i="34"/>
  <c r="V26" i="34"/>
  <c r="Q26" i="34"/>
  <c r="V20" i="34"/>
  <c r="Q20" i="34"/>
  <c r="V17" i="34"/>
  <c r="Q17" i="34"/>
  <c r="E6" i="34"/>
  <c r="I120" i="33"/>
  <c r="J93" i="33"/>
  <c r="I93" i="33"/>
  <c r="L90" i="33"/>
  <c r="K90" i="33"/>
  <c r="J90" i="33"/>
  <c r="I90" i="33"/>
  <c r="H90" i="33"/>
  <c r="I89" i="33"/>
  <c r="I88" i="33"/>
  <c r="I87" i="33"/>
  <c r="I79" i="33"/>
  <c r="I78" i="33"/>
  <c r="I73" i="33"/>
  <c r="L69" i="33"/>
  <c r="K69" i="33"/>
  <c r="J69" i="33"/>
  <c r="I69" i="33"/>
  <c r="H69" i="33"/>
  <c r="L59" i="33"/>
  <c r="K59" i="33"/>
  <c r="J59" i="33"/>
  <c r="I59" i="33"/>
  <c r="L49" i="33"/>
  <c r="I49" i="33"/>
  <c r="I45" i="33"/>
  <c r="N40" i="33"/>
  <c r="N39" i="33"/>
  <c r="N38" i="33"/>
  <c r="N37" i="33"/>
  <c r="N36" i="33"/>
  <c r="N35" i="33"/>
  <c r="N34" i="33"/>
  <c r="L33" i="33"/>
  <c r="K33" i="33"/>
  <c r="J33" i="33"/>
  <c r="I33" i="33"/>
  <c r="H33" i="33"/>
  <c r="H27" i="33"/>
  <c r="H26" i="33"/>
  <c r="H25" i="33"/>
  <c r="E22"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L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6" i="21"/>
  <c r="AN55" i="21"/>
  <c r="AN54" i="21"/>
  <c r="AN53" i="21"/>
  <c r="AN52" i="21"/>
  <c r="AN51" i="21"/>
  <c r="AN50" i="21"/>
  <c r="AN49" i="21"/>
  <c r="AN48" i="21"/>
  <c r="AL48" i="21"/>
  <c r="AN47" i="21"/>
  <c r="AN46" i="21"/>
  <c r="AN45" i="21"/>
  <c r="AN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L8" i="21"/>
  <c r="AN7" i="21"/>
  <c r="AN6" i="21"/>
  <c r="AN5" i="21"/>
  <c r="AC5" i="21"/>
  <c r="S5" i="21"/>
  <c r="AN4" i="21"/>
  <c r="AC4" i="21"/>
  <c r="S4" i="21"/>
  <c r="AN3" i="21"/>
  <c r="AC3" i="21"/>
  <c r="S3" i="21"/>
  <c r="AN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G42" i="17"/>
  <c r="AH42" i="17" s="1"/>
  <c r="AI42" i="17" s="1"/>
  <c r="AK42" i="17" s="1"/>
  <c r="AL42" i="17" s="1"/>
  <c r="AM42" i="17" s="1"/>
  <c r="AF42" i="17"/>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5" s="1"/>
  <c r="I44" i="25" s="1"/>
  <c r="AO94" i="5"/>
  <c r="S42" i="25" s="1"/>
  <c r="AN94" i="5"/>
  <c r="S41" i="25" s="1"/>
  <c r="AM94" i="5"/>
  <c r="AL94" i="5"/>
  <c r="AC43" i="25" s="1"/>
  <c r="AK94" i="5"/>
  <c r="AC42" i="25"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63" i="5"/>
  <c r="AP63" i="5"/>
  <c r="AO63" i="5"/>
  <c r="AN63" i="5"/>
  <c r="AM63" i="5"/>
  <c r="AL63" i="5"/>
  <c r="AK63" i="5"/>
  <c r="AJ63" i="5"/>
  <c r="AI63" i="5"/>
  <c r="AH63" i="5"/>
  <c r="AQ58" i="5"/>
  <c r="S45" i="21" s="1"/>
  <c r="AP58" i="5"/>
  <c r="S44" i="21" s="1"/>
  <c r="AO58" i="5"/>
  <c r="S43" i="21" s="1"/>
  <c r="AN58" i="5"/>
  <c r="S42" i="21" s="1"/>
  <c r="AM58" i="5"/>
  <c r="AC45" i="21" s="1"/>
  <c r="AL58" i="5"/>
  <c r="AC44" i="21" s="1"/>
  <c r="AK58" i="5"/>
  <c r="AC43" i="21"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2" i="4"/>
  <c r="Q22" i="4"/>
  <c r="I22" i="4"/>
  <c r="E22" i="4"/>
  <c r="P22" i="4" s="1"/>
  <c r="R19" i="4"/>
  <c r="Q19" i="4"/>
  <c r="I19" i="4"/>
  <c r="E19" i="4"/>
  <c r="P19" i="4" s="1"/>
  <c r="R16" i="4"/>
  <c r="Q16" i="4"/>
  <c r="I16" i="4"/>
  <c r="E16" i="4"/>
  <c r="P16" i="4" s="1"/>
  <c r="R13" i="4"/>
  <c r="Q13" i="4"/>
  <c r="E13" i="4"/>
  <c r="P13" i="4" s="1"/>
  <c r="E7" i="4"/>
  <c r="D5" i="4"/>
  <c r="O13" i="3"/>
  <c r="M13" i="3" a="1"/>
  <c r="M13" i="3"/>
  <c r="J13" i="3"/>
  <c r="E13" i="3"/>
  <c r="E12" i="3"/>
  <c r="G12" i="3" s="1"/>
  <c r="E4" i="3"/>
  <c r="E59" i="2"/>
  <c r="E49" i="2"/>
  <c r="E41" i="2"/>
  <c r="E31" i="2"/>
  <c r="E27" i="2"/>
  <c r="E26" i="2"/>
  <c r="F25" i="2"/>
  <c r="E22" i="2"/>
  <c r="E21" i="2"/>
  <c r="F20" i="2"/>
  <c r="E19" i="2"/>
  <c r="I9" i="2"/>
  <c r="E5" i="2"/>
  <c r="E3" i="2"/>
  <c r="E2" i="2"/>
  <c r="E121" i="33" l="1"/>
  <c r="E122" i="33"/>
  <c r="E123" i="33"/>
  <c r="E124" i="33"/>
  <c r="E125" i="33"/>
  <c r="E126" i="33"/>
  <c r="E127" i="33"/>
  <c r="E128" i="33"/>
  <c r="N69" i="33"/>
  <c r="E70" i="33"/>
  <c r="N70" i="33" s="1"/>
  <c r="E71" i="33"/>
  <c r="E72" i="33"/>
  <c r="E73" i="33"/>
  <c r="N33" i="33"/>
  <c r="B34" i="33"/>
  <c r="H31" i="33"/>
  <c r="H146" i="33" s="1"/>
  <c r="I31" i="33"/>
  <c r="J31" i="33"/>
  <c r="K31" i="33"/>
  <c r="L31" i="33"/>
  <c r="D22" i="40"/>
  <c r="D3" i="39"/>
  <c r="D51" i="61"/>
  <c r="D50" i="61"/>
  <c r="D49" i="61"/>
  <c r="D48" i="61"/>
  <c r="F10" i="55"/>
  <c r="F2" i="54"/>
  <c r="F10" i="54"/>
  <c r="F2" i="55"/>
  <c r="H52" i="51"/>
  <c r="G52" i="51"/>
  <c r="H51" i="51"/>
  <c r="G51" i="51"/>
  <c r="H46" i="51"/>
  <c r="G46" i="51"/>
  <c r="E4" i="62"/>
  <c r="C4" i="62" s="1"/>
  <c r="D4" i="7" s="1"/>
  <c r="E31" i="62"/>
  <c r="C31" i="62" s="1"/>
  <c r="D4" i="8" s="1"/>
  <c r="AA12" i="63"/>
  <c r="N12" i="63" s="1"/>
  <c r="L16" i="45" s="1"/>
  <c r="J49" i="51"/>
  <c r="J47" i="51"/>
  <c r="J46" i="51"/>
  <c r="J51" i="51"/>
  <c r="AA15" i="63"/>
  <c r="N15" i="63" s="1"/>
  <c r="L19" i="45" s="1"/>
  <c r="E5" i="55"/>
  <c r="U148" i="63"/>
  <c r="M148" i="63" s="1"/>
  <c r="E12" i="46" s="1"/>
  <c r="E5" i="54"/>
  <c r="AA16" i="63"/>
  <c r="N16" i="63" s="1"/>
  <c r="L21" i="45" s="1"/>
  <c r="J52" i="51"/>
  <c r="U15" i="63"/>
  <c r="M15" i="63" s="1"/>
  <c r="E19" i="45" s="1"/>
  <c r="U14" i="63"/>
  <c r="M14" i="63" s="1"/>
  <c r="E18" i="45" s="1"/>
  <c r="AA13" i="63"/>
  <c r="N13" i="63" s="1"/>
  <c r="L17" i="45" s="1"/>
  <c r="J50" i="51"/>
  <c r="AA11" i="63"/>
  <c r="N11" i="63" s="1"/>
  <c r="L15" i="45" s="1"/>
  <c r="E32" i="62"/>
  <c r="C32" i="62" s="1"/>
  <c r="E30" i="62"/>
  <c r="C30" i="62" s="1"/>
  <c r="D14" i="47" s="1"/>
  <c r="E29" i="62"/>
  <c r="C29" i="62" s="1"/>
  <c r="D5" i="49" s="1"/>
  <c r="E6" i="62"/>
  <c r="C6" i="62" s="1"/>
  <c r="E21" i="33" s="1"/>
  <c r="E5" i="62"/>
  <c r="C5" i="62" s="1"/>
  <c r="D5" i="46" s="1"/>
  <c r="E3" i="62"/>
  <c r="C3" i="62" s="1"/>
  <c r="D5" i="45" s="1"/>
  <c r="I119" i="33"/>
  <c r="I118" i="33"/>
  <c r="S5" i="31"/>
  <c r="J6" i="31"/>
  <c r="S5" i="30"/>
  <c r="J6" i="30"/>
  <c r="S5" i="28"/>
  <c r="J6" i="28"/>
  <c r="S5" i="27"/>
  <c r="J6" i="27"/>
  <c r="S5" i="25"/>
  <c r="J6" i="25"/>
  <c r="S5" i="24"/>
  <c r="J6" i="24"/>
  <c r="S5" i="23"/>
  <c r="J6" i="23"/>
  <c r="S5" i="22"/>
  <c r="J6" i="22"/>
  <c r="I6" i="21"/>
  <c r="J7" i="21"/>
  <c r="K8" i="21"/>
  <c r="S8" i="21" s="1"/>
  <c r="I6" i="20"/>
  <c r="K8" i="20"/>
  <c r="S8" i="20" s="1"/>
  <c r="J7" i="20"/>
  <c r="U7" i="19"/>
  <c r="K8" i="19"/>
  <c r="S7" i="18"/>
  <c r="K8" i="18"/>
  <c r="S8" i="18" s="1"/>
  <c r="S7" i="17"/>
  <c r="K8" i="17"/>
  <c r="S8" i="17" s="1"/>
  <c r="S7" i="16"/>
  <c r="K8" i="16"/>
  <c r="S8" i="16" s="1"/>
  <c r="S6" i="15"/>
  <c r="J7" i="15"/>
  <c r="S6" i="14"/>
  <c r="J7" i="14"/>
  <c r="S6" i="13"/>
  <c r="J7" i="13"/>
  <c r="S6" i="12"/>
  <c r="J7" i="12"/>
  <c r="S6" i="11"/>
  <c r="J7" i="11"/>
  <c r="D34" i="7"/>
  <c r="D35" i="7"/>
  <c r="D36" i="7"/>
  <c r="D37" i="7"/>
  <c r="D38" i="7" s="1"/>
  <c r="D39" i="7" s="1"/>
  <c r="D23" i="7"/>
  <c r="D22" i="7"/>
  <c r="D21" i="7"/>
  <c r="D20" i="7"/>
  <c r="G81" i="48"/>
  <c r="G266" i="48"/>
  <c r="G205" i="48"/>
  <c r="G327" i="48"/>
  <c r="G144" i="48"/>
  <c r="AD46" i="29"/>
  <c r="F205" i="48"/>
  <c r="F144" i="48"/>
  <c r="F266" i="48"/>
  <c r="F327" i="48"/>
  <c r="F81" i="48"/>
  <c r="S44" i="28"/>
  <c r="J45" i="28"/>
  <c r="G78" i="48"/>
  <c r="G202" i="48"/>
  <c r="G141" i="48"/>
  <c r="AC41" i="28"/>
  <c r="G263" i="48"/>
  <c r="G324" i="48"/>
  <c r="F141" i="48"/>
  <c r="F324" i="48"/>
  <c r="F78" i="48"/>
  <c r="F202" i="48"/>
  <c r="F263" i="48"/>
  <c r="S44" i="27"/>
  <c r="J45" i="27"/>
  <c r="G260" i="48"/>
  <c r="G75" i="48"/>
  <c r="G138" i="48"/>
  <c r="G199" i="48"/>
  <c r="AC41" i="27"/>
  <c r="G321" i="48"/>
  <c r="F75" i="48"/>
  <c r="F199" i="48"/>
  <c r="F138" i="48"/>
  <c r="F321" i="48"/>
  <c r="F260" i="48"/>
  <c r="G135" i="48"/>
  <c r="G72" i="48"/>
  <c r="G257" i="48"/>
  <c r="G196" i="48"/>
  <c r="AD46" i="32"/>
  <c r="G318" i="48"/>
  <c r="F318" i="48"/>
  <c r="F135" i="48"/>
  <c r="F196" i="48"/>
  <c r="F72" i="48"/>
  <c r="F257" i="48"/>
  <c r="S45" i="31"/>
  <c r="J46" i="31"/>
  <c r="G69" i="48"/>
  <c r="G193" i="48"/>
  <c r="AG42" i="31"/>
  <c r="G315" i="48"/>
  <c r="G254" i="48"/>
  <c r="G132" i="48"/>
  <c r="F254" i="48"/>
  <c r="F193" i="48"/>
  <c r="F315" i="48"/>
  <c r="F69" i="48"/>
  <c r="F132" i="48"/>
  <c r="S45" i="30"/>
  <c r="J46" i="30"/>
  <c r="G66" i="48"/>
  <c r="G190" i="48"/>
  <c r="G312" i="48"/>
  <c r="G251" i="48"/>
  <c r="AG42" i="30"/>
  <c r="G129" i="48"/>
  <c r="F129" i="48"/>
  <c r="F251" i="48"/>
  <c r="F66" i="48"/>
  <c r="F190" i="48"/>
  <c r="F312" i="48"/>
  <c r="G248" i="48"/>
  <c r="G63" i="48"/>
  <c r="G309" i="48"/>
  <c r="G126" i="48"/>
  <c r="G187" i="48"/>
  <c r="AD46" i="26"/>
  <c r="F63" i="48"/>
  <c r="F309" i="48"/>
  <c r="F126" i="48"/>
  <c r="F187" i="48"/>
  <c r="F248" i="48"/>
  <c r="S44" i="25"/>
  <c r="J45" i="25"/>
  <c r="G60" i="48"/>
  <c r="G306" i="48"/>
  <c r="AC41" i="25"/>
  <c r="G245" i="48"/>
  <c r="G123" i="48"/>
  <c r="G184" i="48"/>
  <c r="F306" i="48"/>
  <c r="F245" i="48"/>
  <c r="F123" i="48"/>
  <c r="F60" i="48"/>
  <c r="F184" i="48"/>
  <c r="S44" i="24"/>
  <c r="J45" i="24"/>
  <c r="G57" i="48"/>
  <c r="G303" i="48"/>
  <c r="AC41" i="24"/>
  <c r="G120" i="48"/>
  <c r="G181" i="48"/>
  <c r="G242" i="48"/>
  <c r="F57" i="48"/>
  <c r="F120" i="48"/>
  <c r="F181" i="48"/>
  <c r="F242" i="48"/>
  <c r="F303" i="48"/>
  <c r="S44" i="23"/>
  <c r="J45" i="23"/>
  <c r="G239" i="48"/>
  <c r="G178" i="48"/>
  <c r="G300" i="48"/>
  <c r="G54" i="48"/>
  <c r="G117" i="48"/>
  <c r="AC41" i="23"/>
  <c r="F239" i="48"/>
  <c r="F117" i="48"/>
  <c r="F300" i="48"/>
  <c r="F178" i="48"/>
  <c r="F54" i="48"/>
  <c r="S44" i="22"/>
  <c r="J45" i="22"/>
  <c r="G51" i="48"/>
  <c r="AC41" i="22"/>
  <c r="G236" i="48"/>
  <c r="G114" i="48"/>
  <c r="G297" i="48"/>
  <c r="G175" i="48"/>
  <c r="F114" i="48"/>
  <c r="F297" i="48"/>
  <c r="F236" i="48"/>
  <c r="F175" i="48"/>
  <c r="F51" i="48"/>
  <c r="S46" i="14"/>
  <c r="I47" i="14" s="1"/>
  <c r="S46" i="13"/>
  <c r="I47" i="13" s="1"/>
  <c r="S45" i="13"/>
  <c r="S45" i="14"/>
  <c r="S44" i="13"/>
  <c r="S44" i="14"/>
  <c r="S43" i="13"/>
  <c r="S43" i="14"/>
  <c r="AD46" i="14"/>
  <c r="AD46" i="13"/>
  <c r="AD45" i="14"/>
  <c r="AD45" i="13"/>
  <c r="AD44" i="13"/>
  <c r="AD44" i="14"/>
  <c r="AD43" i="13"/>
  <c r="AD43" i="14"/>
  <c r="I46" i="21"/>
  <c r="J47" i="21"/>
  <c r="K48" i="21"/>
  <c r="S48" i="21" s="1"/>
  <c r="G172" i="48"/>
  <c r="G294" i="48"/>
  <c r="G233" i="48"/>
  <c r="AC42" i="21"/>
  <c r="G111" i="48"/>
  <c r="G48" i="48"/>
  <c r="F294" i="48"/>
  <c r="F233" i="48"/>
  <c r="F111" i="48"/>
  <c r="F172" i="48"/>
  <c r="F48" i="48"/>
  <c r="I49" i="20"/>
  <c r="J50" i="20"/>
  <c r="K51" i="20"/>
  <c r="S51" i="20" s="1"/>
  <c r="G230" i="48"/>
  <c r="G169" i="48"/>
  <c r="G291" i="48"/>
  <c r="G108" i="48"/>
  <c r="AB45" i="20"/>
  <c r="G45" i="48"/>
  <c r="F169" i="48"/>
  <c r="F230" i="48"/>
  <c r="F108" i="48"/>
  <c r="F291" i="48"/>
  <c r="F45" i="48"/>
  <c r="S47" i="15"/>
  <c r="J48" i="15"/>
  <c r="G166" i="48"/>
  <c r="G227" i="48"/>
  <c r="G288" i="48"/>
  <c r="G105" i="48"/>
  <c r="AD43" i="15"/>
  <c r="G42" i="48"/>
  <c r="F288" i="48"/>
  <c r="F166" i="48"/>
  <c r="F227" i="48"/>
  <c r="F105" i="48"/>
  <c r="F42" i="48"/>
  <c r="I47" i="18"/>
  <c r="J48" i="18"/>
  <c r="G163" i="48"/>
  <c r="AD43" i="18"/>
  <c r="G285" i="48"/>
  <c r="G224" i="48"/>
  <c r="G102" i="48"/>
  <c r="G39" i="48"/>
  <c r="F224" i="48"/>
  <c r="F163" i="48"/>
  <c r="F102" i="48"/>
  <c r="F285" i="48"/>
  <c r="F39" i="48"/>
  <c r="I47" i="17"/>
  <c r="J48" i="17"/>
  <c r="G221" i="48"/>
  <c r="G282" i="48"/>
  <c r="G160" i="48"/>
  <c r="AD43" i="17"/>
  <c r="G99" i="48"/>
  <c r="G36" i="48"/>
  <c r="F282" i="48"/>
  <c r="F221" i="48"/>
  <c r="F99" i="48"/>
  <c r="F160" i="48"/>
  <c r="F36" i="48"/>
  <c r="U54" i="19"/>
  <c r="K55" i="19"/>
  <c r="G157" i="48"/>
  <c r="G33" i="48"/>
  <c r="G96" i="48"/>
  <c r="G279" i="48"/>
  <c r="G218" i="48"/>
  <c r="AG49" i="19"/>
  <c r="F218" i="48"/>
  <c r="F279" i="48"/>
  <c r="F157" i="48"/>
  <c r="F96" i="48"/>
  <c r="F33" i="48"/>
  <c r="S46" i="16"/>
  <c r="L22" i="64"/>
  <c r="F23" i="64" s="1"/>
  <c r="S45" i="16"/>
  <c r="L21" i="64"/>
  <c r="S44" i="16"/>
  <c r="L20" i="64"/>
  <c r="S43" i="16"/>
  <c r="L19" i="64"/>
  <c r="AD46" i="16"/>
  <c r="O22" i="64"/>
  <c r="AD45" i="16"/>
  <c r="O21" i="64"/>
  <c r="O20" i="64"/>
  <c r="AD44" i="16"/>
  <c r="G276" i="48"/>
  <c r="G93" i="48"/>
  <c r="G30" i="48"/>
  <c r="AD43" i="16"/>
  <c r="O19" i="64"/>
  <c r="G215" i="48"/>
  <c r="G154" i="48"/>
  <c r="F215" i="48"/>
  <c r="F93" i="48"/>
  <c r="F30" i="48"/>
  <c r="F276" i="48"/>
  <c r="F154" i="48"/>
  <c r="S47" i="12"/>
  <c r="J48" i="12"/>
  <c r="AD43" i="12"/>
  <c r="G273" i="48"/>
  <c r="G90" i="48"/>
  <c r="G212" i="48"/>
  <c r="G27" i="48"/>
  <c r="G151" i="48"/>
  <c r="F27" i="48"/>
  <c r="F151" i="48"/>
  <c r="F273" i="48"/>
  <c r="F90" i="48"/>
  <c r="F212" i="48"/>
  <c r="S47" i="11"/>
  <c r="J48" i="11"/>
  <c r="G5" i="48"/>
  <c r="G24" i="48"/>
  <c r="G148" i="48"/>
  <c r="AD43" i="11"/>
  <c r="G2" i="48"/>
  <c r="G270" i="48"/>
  <c r="G87" i="48"/>
  <c r="G209" i="48"/>
  <c r="F24" i="48"/>
  <c r="F270" i="48"/>
  <c r="F148" i="48"/>
  <c r="F209" i="48"/>
  <c r="F87" i="48"/>
  <c r="O9" i="39"/>
  <c r="H43" i="34"/>
  <c r="P12" i="35"/>
  <c r="L12" i="37"/>
  <c r="O11" i="50"/>
  <c r="L12" i="38"/>
  <c r="L27" i="33"/>
  <c r="K11" i="45"/>
  <c r="O28" i="40"/>
  <c r="O27" i="40"/>
  <c r="L26" i="33"/>
  <c r="H42" i="34"/>
  <c r="P11" i="35"/>
  <c r="O10" i="50"/>
  <c r="L11" i="38"/>
  <c r="K10" i="45"/>
  <c r="O8" i="39"/>
  <c r="L11" i="37"/>
  <c r="L25" i="33"/>
  <c r="H41" i="34"/>
  <c r="P10" i="35"/>
  <c r="L10" i="37"/>
  <c r="L10" i="38"/>
  <c r="O7" i="39"/>
  <c r="O26" i="40"/>
  <c r="K9" i="45"/>
  <c r="O9" i="50"/>
  <c r="M11" i="50"/>
  <c r="K12" i="38"/>
  <c r="K12" i="37"/>
  <c r="J11" i="45"/>
  <c r="O12" i="35"/>
  <c r="H34" i="34"/>
  <c r="M28" i="40"/>
  <c r="M9" i="39"/>
  <c r="K27" i="33"/>
  <c r="J10" i="45"/>
  <c r="M10" i="50"/>
  <c r="O11" i="35"/>
  <c r="M8" i="39"/>
  <c r="K26" i="33"/>
  <c r="K11" i="38"/>
  <c r="K11" i="37"/>
  <c r="H33" i="34"/>
  <c r="M27" i="40"/>
  <c r="K25" i="33"/>
  <c r="H32" i="34"/>
  <c r="O10" i="35"/>
  <c r="K10" i="37"/>
  <c r="K10" i="38"/>
  <c r="M7" i="39"/>
  <c r="M26" i="40"/>
  <c r="J9" i="45"/>
  <c r="M9" i="50"/>
  <c r="K11" i="50"/>
  <c r="J12" i="38"/>
  <c r="K28" i="40"/>
  <c r="J12" i="37"/>
  <c r="H25" i="34"/>
  <c r="N12" i="35"/>
  <c r="I11" i="45"/>
  <c r="K9" i="39"/>
  <c r="J27" i="33"/>
  <c r="N11" i="35"/>
  <c r="K10" i="50"/>
  <c r="J26" i="33"/>
  <c r="H24" i="34"/>
  <c r="J11" i="38"/>
  <c r="I10" i="45"/>
  <c r="K8" i="39"/>
  <c r="J11" i="37"/>
  <c r="K27" i="40"/>
  <c r="J25" i="33"/>
  <c r="H23" i="34"/>
  <c r="N10" i="35"/>
  <c r="J10" i="37"/>
  <c r="J10" i="38"/>
  <c r="K7" i="39"/>
  <c r="K26" i="40"/>
  <c r="I9" i="45"/>
  <c r="K9" i="50"/>
  <c r="I27" i="33"/>
  <c r="I11" i="50"/>
  <c r="I12" i="37"/>
  <c r="H11" i="45"/>
  <c r="I12" i="38"/>
  <c r="I28" i="40"/>
  <c r="I9" i="39"/>
  <c r="H16" i="34"/>
  <c r="M12" i="35"/>
  <c r="I8" i="39"/>
  <c r="I11" i="37"/>
  <c r="M11" i="35"/>
  <c r="I27" i="40"/>
  <c r="I11" i="38"/>
  <c r="I26" i="33"/>
  <c r="I10" i="50"/>
  <c r="H15" i="34"/>
  <c r="H10" i="45"/>
  <c r="I25" i="33"/>
  <c r="H14" i="34"/>
  <c r="M10" i="35"/>
  <c r="I10" i="37"/>
  <c r="I10" i="38"/>
  <c r="I7" i="39"/>
  <c r="I26" i="40"/>
  <c r="H9" i="45"/>
  <c r="I9" i="50"/>
  <c r="D4" i="4"/>
  <c r="B5" i="1"/>
  <c r="I83" i="33" l="1"/>
  <c r="I146" i="33"/>
  <c r="J83" i="33"/>
  <c r="J146" i="33"/>
  <c r="K83" i="33"/>
  <c r="K146" i="33"/>
  <c r="L83" i="33"/>
  <c r="L146" i="33"/>
  <c r="F5" i="41"/>
  <c r="F5" i="42"/>
  <c r="F5" i="43"/>
  <c r="F5" i="44"/>
  <c r="S6" i="31"/>
  <c r="K7" i="31"/>
  <c r="S7" i="31" s="1"/>
  <c r="S6" i="30"/>
  <c r="K7" i="30"/>
  <c r="S7" i="30" s="1"/>
  <c r="S6" i="28"/>
  <c r="K7" i="28"/>
  <c r="S7" i="28" s="1"/>
  <c r="S6" i="27"/>
  <c r="K7" i="27"/>
  <c r="S7" i="27" s="1"/>
  <c r="S6" i="25"/>
  <c r="K7" i="25"/>
  <c r="S7" i="25" s="1"/>
  <c r="S6" i="24"/>
  <c r="K7" i="24"/>
  <c r="S7" i="24" s="1"/>
  <c r="S6" i="23"/>
  <c r="K7" i="23"/>
  <c r="S7" i="23" s="1"/>
  <c r="S6" i="22"/>
  <c r="K7" i="22"/>
  <c r="S7" i="22" s="1"/>
  <c r="U8" i="19"/>
  <c r="L9" i="19"/>
  <c r="U9" i="19" s="1"/>
  <c r="S7" i="15"/>
  <c r="K8" i="15"/>
  <c r="S8" i="15" s="1"/>
  <c r="S7" i="14"/>
  <c r="K8" i="14"/>
  <c r="S8" i="14" s="1"/>
  <c r="S7" i="13"/>
  <c r="K8" i="13"/>
  <c r="S8" i="13" s="1"/>
  <c r="S7" i="12"/>
  <c r="K8" i="12"/>
  <c r="S8" i="12" s="1"/>
  <c r="S7" i="11"/>
  <c r="K8" i="11"/>
  <c r="S8" i="11" s="1"/>
  <c r="D40" i="7"/>
  <c r="D41" i="7"/>
  <c r="D43" i="7"/>
  <c r="D44" i="7" s="1"/>
  <c r="D45" i="7" s="1"/>
  <c r="S45" i="28"/>
  <c r="K46" i="28"/>
  <c r="S46" i="28" s="1"/>
  <c r="S45" i="27"/>
  <c r="K46" i="27"/>
  <c r="S46" i="27" s="1"/>
  <c r="S46" i="31"/>
  <c r="K47" i="31"/>
  <c r="S47" i="31" s="1"/>
  <c r="S46" i="30"/>
  <c r="K47" i="30"/>
  <c r="S47" i="30" s="1"/>
  <c r="S45" i="25"/>
  <c r="K46" i="25"/>
  <c r="S46" i="25" s="1"/>
  <c r="S45" i="24"/>
  <c r="K46" i="24"/>
  <c r="S46" i="24" s="1"/>
  <c r="S45" i="23"/>
  <c r="K46" i="23"/>
  <c r="S46" i="23" s="1"/>
  <c r="S45" i="22"/>
  <c r="K46" i="22"/>
  <c r="S46" i="22" s="1"/>
  <c r="S47" i="14"/>
  <c r="J48" i="14"/>
  <c r="S47" i="13"/>
  <c r="J48" i="13"/>
  <c r="S48" i="15"/>
  <c r="K49" i="15"/>
  <c r="S49" i="15" s="1"/>
  <c r="S48" i="18"/>
  <c r="K49" i="18"/>
  <c r="S49" i="18" s="1"/>
  <c r="S48" i="17"/>
  <c r="K49" i="17"/>
  <c r="S49" i="17" s="1"/>
  <c r="U55" i="19"/>
  <c r="L56" i="19"/>
  <c r="U56" i="19" s="1"/>
  <c r="I47" i="16"/>
  <c r="J48" i="16"/>
  <c r="L23" i="64"/>
  <c r="G24" i="64"/>
  <c r="S48" i="12"/>
  <c r="K49" i="12"/>
  <c r="S49" i="12" s="1"/>
  <c r="S48" i="11"/>
  <c r="K49" i="11"/>
  <c r="S49" i="11" s="1"/>
  <c r="D46" i="7" l="1"/>
  <c r="D47" i="7"/>
  <c r="D48" i="7"/>
  <c r="D49" i="7"/>
  <c r="D51" i="7"/>
  <c r="S48" i="14"/>
  <c r="K49" i="14"/>
  <c r="S49" i="14" s="1"/>
  <c r="S48" i="13"/>
  <c r="K49" i="13"/>
  <c r="S49" i="13" s="1"/>
  <c r="S48" i="16"/>
  <c r="K49" i="16"/>
  <c r="S49" i="16" s="1"/>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<sst xmlns="http://schemas.openxmlformats.org/spreadsheetml/2006/main" count="18753" uniqueCount="3849">
  <si>
    <t xml:space="preserve"> (требуется обновление)</t>
  </si>
  <si>
    <t>Код отчёта: PP108.OPEN.INFO.BALANCE.COLDVSNA.EIAS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</si>
  <si>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</si>
  <si>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</si>
  <si>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</si>
  <si>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</si>
  <si>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</si>
  <si>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</si>
  <si>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</si>
  <si>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</si>
  <si>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</si>
  <si>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</si>
  <si>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</si>
  <si>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26423549</t>
  </si>
  <si>
    <t>Flag_Row_Size</t>
  </si>
  <si>
    <t>Субъект РФ</t>
  </si>
  <si>
    <t>Ханты-Мансийский автономный округ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</si>
  <si>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</si>
  <si>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</si>
  <si>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</si>
  <si>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</si>
  <si>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</si>
  <si>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</si>
  <si>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</si>
  <si>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</si>
  <si>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</si>
  <si>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</si>
  <si>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</si>
  <si>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</si>
  <si>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</si>
  <si>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</si>
  <si>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</si>
  <si>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</si>
  <si>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</si>
  <si>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</si>
  <si>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</si>
  <si>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</si>
  <si>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</si>
  <si>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</si>
  <si>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</si>
  <si>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</si>
  <si>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</si>
  <si>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</si>
  <si>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</si>
  <si>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</si>
  <si>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</si>
  <si>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Сургутское городское муниципальное унитарное предприятие "Горводоканал"</t>
  </si>
  <si>
    <t>Наименование (описание) обособленного подразделения</t>
  </si>
  <si>
    <t>ИНН</t>
  </si>
  <si>
    <t>8602016725</t>
  </si>
  <si>
    <t>КПП</t>
  </si>
  <si>
    <t>860201001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</si>
  <si>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</si>
  <si>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</si>
  <si>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</si>
  <si>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</si>
  <si>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</si>
  <si>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</si>
  <si>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</si>
  <si>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</si>
  <si>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</si>
  <si>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</si>
  <si>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</si>
  <si>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</si>
  <si>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</si>
  <si>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</si>
  <si>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</si>
  <si>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</si>
  <si>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</si>
  <si>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</si>
  <si>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628422, Россия, Ханты-Мансийский автономный округ-Югра, город Сургут, улица Аэрофлотская, дом 4</t>
  </si>
  <si>
    <t>Фамилия, имя, отчество руководителя</t>
  </si>
  <si>
    <t>Бондаренко Григорий Анатольевич</t>
  </si>
  <si>
    <t>Ответственный за заполнение формы</t>
  </si>
  <si>
    <t>Фамилия, имя, отчество</t>
  </si>
  <si>
    <t>Торопко Екатерина Дмитриевна</t>
  </si>
  <si>
    <t>Должность</t>
  </si>
  <si>
    <t>Заместитель начальника ПЭО</t>
  </si>
  <si>
    <t>Контактный телефон</t>
  </si>
  <si>
    <t>8 (3462) 55-04-41 доб. 1134</t>
  </si>
  <si>
    <t>E-mail</t>
  </si>
  <si>
    <t>toropko.e.d@gvk86.ru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</si>
  <si>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</si>
  <si>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</si>
  <si>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</si>
  <si>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</si>
  <si>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</si>
  <si>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</si>
  <si>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</si>
  <si>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</si>
  <si>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</si>
  <si>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</si>
  <si>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</si>
  <si>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</si>
  <si>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</si>
  <si>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</si>
  <si>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</si>
  <si>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</si>
  <si>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</si>
  <si>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</si>
  <si>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Сургут</t>
  </si>
  <si>
    <t>71876000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</si>
  <si>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</si>
  <si>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</si>
  <si>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</si>
  <si>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</si>
  <si>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</si>
  <si>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</si>
  <si>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</si>
  <si>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</si>
  <si>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</si>
  <si>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</si>
  <si>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</si>
  <si>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</si>
  <si>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</si>
  <si>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</si>
  <si>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</si>
  <si>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</si>
  <si>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</si>
  <si>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</si>
  <si>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</si>
  <si>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</si>
  <si>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t>
  </si>
  <si>
    <t>diff_5</t>
  </si>
  <si>
    <t>4189674</t>
  </si>
  <si>
    <t>diff_51</t>
  </si>
  <si>
    <t>4189677</t>
  </si>
  <si>
    <t>diff_511</t>
  </si>
  <si>
    <t>4189673</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</si>
  <si>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</si>
  <si>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</si>
  <si>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</si>
  <si>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</si>
  <si>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</si>
  <si>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</si>
  <si>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</si>
  <si>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</si>
  <si>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</si>
  <si>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</si>
  <si>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</si>
  <si>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</si>
  <si>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</si>
  <si>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</si>
  <si>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</si>
  <si>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</si>
  <si>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</si>
  <si>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</si>
  <si>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</si>
  <si>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</si>
  <si>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</si>
  <si>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</si>
  <si>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</si>
  <si>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</si>
  <si>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</si>
  <si>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</si>
  <si>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</si>
  <si>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</si>
  <si>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</si>
  <si>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</si>
  <si>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</si>
  <si>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</si>
  <si>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</si>
  <si>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</si>
  <si>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</si>
  <si>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</si>
  <si>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</si>
  <si>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</si>
  <si>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</si>
  <si>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</si>
  <si>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</si>
  <si>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</si>
  <si>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</si>
  <si>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</si>
  <si>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</si>
  <si>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</si>
  <si>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</si>
  <si>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</si>
  <si>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</si>
  <si>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</si>
  <si>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</si>
  <si>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</si>
  <si>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</si>
  <si>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</si>
  <si>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</si>
  <si>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</si>
  <si>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</si>
  <si>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</si>
  <si>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</si>
  <si>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</si>
  <si>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</si>
  <si>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</si>
  <si>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</si>
  <si>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</si>
  <si>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</si>
  <si>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</si>
  <si>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</si>
  <si>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</si>
  <si>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</si>
  <si>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</si>
  <si>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</si>
  <si>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</si>
  <si>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</si>
  <si>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</si>
  <si>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</si>
  <si>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</si>
  <si>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</si>
  <si>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</si>
  <si>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</si>
  <si>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</si>
  <si>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</si>
  <si>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</si>
  <si>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</si>
  <si>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</si>
  <si>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</si>
  <si>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</si>
  <si>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</si>
  <si>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</si>
  <si>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</si>
  <si>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</si>
  <si>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</si>
  <si>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</si>
  <si>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</si>
  <si>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</si>
  <si>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</si>
  <si>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</si>
  <si>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</si>
  <si>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</si>
  <si>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</si>
  <si>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</si>
  <si>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</si>
  <si>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</si>
  <si>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</si>
  <si>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</si>
  <si>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</si>
  <si>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</si>
  <si>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</si>
  <si>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</si>
  <si>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</si>
  <si>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</si>
  <si>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</si>
  <si>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</si>
  <si>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</si>
  <si>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</si>
  <si>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</si>
  <si>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</si>
  <si>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</si>
  <si>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</si>
  <si>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</si>
  <si>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</si>
  <si>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</si>
  <si>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</si>
  <si>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</si>
  <si>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</si>
  <si>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</si>
  <si>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</si>
  <si>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</si>
  <si>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</si>
  <si>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</si>
  <si>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</si>
  <si>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</si>
  <si>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</si>
  <si>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</si>
  <si>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</si>
  <si>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</si>
  <si>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</si>
  <si>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</si>
  <si>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</si>
  <si>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</si>
  <si>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</si>
  <si>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</si>
  <si>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</si>
  <si>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</si>
  <si>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</si>
  <si>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</si>
  <si>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</si>
  <si>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</si>
  <si>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</si>
  <si>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</si>
  <si>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</si>
  <si>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</si>
  <si>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</si>
  <si>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</si>
  <si>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</si>
  <si>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</si>
  <si>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</si>
  <si>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</si>
  <si>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</si>
  <si>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</si>
  <si>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</si>
  <si>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</si>
  <si>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</si>
  <si>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</si>
  <si>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</si>
  <si>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</si>
  <si>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</si>
  <si>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</si>
  <si>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</si>
  <si>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</si>
  <si>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</si>
  <si>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</si>
  <si>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</si>
  <si>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</si>
  <si>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</si>
  <si>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</si>
  <si>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</si>
  <si>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</si>
  <si>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</si>
  <si>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</si>
  <si>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</si>
  <si>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</si>
  <si>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</si>
  <si>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</si>
  <si>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</si>
  <si>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</si>
  <si>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</si>
  <si>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</si>
  <si>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</si>
  <si>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</si>
  <si>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</si>
  <si>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</si>
  <si>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</si>
  <si>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</si>
  <si>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</si>
  <si>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</si>
  <si>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</si>
  <si>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</si>
  <si>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</si>
  <si>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</si>
  <si>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</si>
  <si>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</si>
  <si>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</si>
  <si>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</si>
  <si>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</si>
  <si>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</si>
  <si>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</si>
  <si>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</si>
  <si>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</si>
  <si>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</si>
  <si>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</si>
  <si>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</si>
  <si>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</si>
  <si>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</si>
  <si>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</si>
  <si>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</si>
  <si>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</si>
  <si>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</si>
  <si>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</si>
  <si>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</si>
  <si>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</si>
  <si>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</si>
  <si>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</si>
  <si>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</si>
  <si>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</si>
  <si>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</si>
  <si>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</si>
  <si>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</si>
  <si>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</si>
  <si>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</si>
  <si>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</si>
  <si>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</si>
  <si>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</si>
  <si>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</si>
  <si>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</si>
  <si>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</si>
  <si>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</si>
  <si>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</si>
  <si>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</si>
  <si>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</si>
  <si>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</si>
  <si>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</si>
  <si>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</si>
  <si>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</si>
  <si>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</si>
  <si>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</si>
  <si>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</si>
  <si>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</si>
  <si>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</si>
  <si>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</si>
  <si>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</si>
  <si>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</si>
  <si>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</si>
  <si>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</si>
  <si>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</si>
  <si>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</si>
  <si>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</si>
  <si>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</si>
  <si>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</si>
  <si>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</si>
  <si>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</si>
  <si>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</si>
  <si>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</si>
  <si>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</si>
  <si>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</si>
  <si>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</si>
  <si>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</si>
  <si>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</si>
  <si>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</si>
  <si>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</si>
  <si>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</si>
  <si>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</si>
  <si>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</si>
  <si>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</si>
  <si>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</si>
  <si>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</si>
  <si>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</si>
  <si>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</si>
  <si>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</si>
  <si>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</si>
  <si>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</si>
  <si>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</si>
  <si>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</si>
  <si>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</si>
  <si>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</si>
  <si>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</si>
  <si>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</si>
  <si>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</si>
  <si>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</si>
  <si>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</si>
  <si>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</si>
  <si>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</si>
  <si>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</si>
  <si>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</si>
  <si>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</si>
  <si>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</si>
  <si>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</si>
  <si>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</si>
  <si>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</si>
  <si>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</si>
  <si>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</si>
  <si>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</si>
  <si>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</si>
  <si>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</si>
  <si>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</si>
  <si>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</si>
  <si>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</si>
  <si>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</si>
  <si>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</si>
  <si>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</si>
  <si>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</si>
  <si>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</si>
  <si>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</si>
  <si>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</si>
  <si>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</si>
  <si>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</si>
  <si>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</si>
  <si>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</si>
  <si>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</si>
  <si>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</si>
  <si>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</si>
  <si>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</si>
  <si>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</si>
  <si>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</si>
  <si>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</si>
  <si>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</si>
  <si>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</si>
  <si>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</si>
  <si>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</si>
  <si>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</si>
  <si>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</si>
  <si>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</si>
  <si>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</si>
  <si>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</si>
  <si>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</si>
  <si>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</si>
  <si>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</si>
  <si>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</si>
  <si>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</si>
  <si>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</si>
  <si>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</si>
  <si>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</si>
  <si>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</si>
  <si>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</si>
  <si>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</si>
  <si>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</si>
  <si>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</si>
  <si>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</si>
  <si>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</si>
  <si>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</si>
  <si>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</si>
  <si>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</si>
  <si>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</si>
  <si>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</si>
  <si>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</si>
  <si>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</si>
  <si>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</si>
  <si>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</si>
  <si>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</si>
  <si>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</si>
  <si>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</si>
  <si>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</si>
  <si>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</si>
  <si>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</si>
  <si>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</si>
  <si>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</si>
  <si>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</si>
  <si>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</si>
  <si>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</si>
  <si>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</si>
  <si>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</si>
  <si>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</si>
  <si>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</si>
  <si>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</si>
  <si>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</si>
  <si>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</si>
  <si>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</si>
  <si>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</si>
  <si>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</si>
  <si>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</si>
  <si>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</si>
  <si>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</si>
  <si>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</si>
  <si>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</si>
  <si>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</si>
  <si>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</si>
  <si>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</si>
  <si>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</si>
  <si>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</si>
  <si>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</si>
  <si>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</si>
  <si>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</si>
  <si>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</si>
  <si>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</si>
  <si>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</si>
  <si>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</si>
  <si>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</si>
  <si>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</si>
  <si>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</si>
  <si>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</si>
  <si>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</si>
  <si>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</si>
  <si>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</si>
  <si>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</si>
  <si>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</si>
  <si>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</si>
  <si>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</si>
  <si>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</si>
  <si>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</si>
  <si>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</si>
  <si>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</si>
  <si>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</si>
  <si>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</si>
  <si>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</si>
  <si>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</si>
  <si>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</si>
  <si>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</si>
  <si>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</si>
  <si>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</si>
  <si>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</si>
  <si>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</si>
  <si>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</si>
  <si>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</si>
  <si>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</si>
  <si>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</si>
  <si>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</si>
  <si>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</si>
  <si>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</si>
  <si>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</si>
  <si>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</si>
  <si>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</si>
  <si>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</si>
  <si>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</si>
  <si>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</si>
  <si>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</si>
  <si>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</si>
  <si>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</si>
  <si>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</si>
  <si>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</si>
  <si>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</si>
  <si>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</si>
  <si>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</si>
  <si>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</si>
  <si>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</si>
  <si>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</si>
  <si>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</si>
  <si>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</si>
  <si>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</si>
  <si>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</si>
  <si>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</si>
  <si>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</si>
  <si>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</si>
  <si>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</si>
  <si>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Налоги, сборы</t>
  </si>
  <si>
    <t>Услуги по транспортированию воды, оказываемые сторонними организациями</t>
  </si>
  <si>
    <t>Расходы на оплату работ, услуг, товаров приобретаемых у других организаций, осуществляющих регулируемые виды деятельности</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</si>
  <si>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</si>
  <si>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</si>
  <si>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</si>
  <si>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</si>
  <si>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</si>
  <si>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</si>
  <si>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</si>
  <si>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</si>
  <si>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</si>
  <si>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</si>
  <si>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</si>
  <si>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</si>
  <si>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</si>
  <si>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</si>
  <si>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</si>
  <si>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</si>
  <si>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</si>
  <si>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</si>
  <si>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водозаборный узел 8</t>
  </si>
  <si>
    <t>водозаборный узел 8 «А»</t>
  </si>
  <si>
    <t>водозаборный узел 9</t>
  </si>
  <si>
    <t>водозаборный узел 9 «А»</t>
  </si>
  <si>
    <t>локальный водозабор «Аэропорт»</t>
  </si>
  <si>
    <t>локальный водозабор «Лунный»</t>
  </si>
  <si>
    <t>локальный водозабор «Гидростроитель»</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</si>
  <si>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</si>
  <si>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</si>
  <si>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</si>
  <si>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</si>
  <si>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</si>
  <si>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</si>
  <si>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</si>
  <si>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</si>
  <si>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</si>
  <si>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</si>
  <si>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</si>
  <si>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</si>
  <si>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</si>
  <si>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</si>
  <si>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</si>
  <si>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</si>
  <si>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</si>
  <si>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</si>
  <si>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</si>
  <si>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</si>
  <si>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</si>
  <si>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</si>
  <si>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</si>
  <si>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</si>
  <si>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</si>
  <si>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</si>
  <si>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</si>
  <si>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</si>
  <si>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</si>
  <si>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</si>
  <si>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</si>
  <si>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</si>
  <si>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</si>
  <si>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</si>
  <si>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</si>
  <si>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</si>
  <si>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</si>
  <si>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</si>
  <si>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</si>
  <si>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</si>
  <si>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</si>
  <si>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</si>
  <si>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</si>
  <si>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</si>
  <si>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</si>
  <si>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</si>
  <si>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</si>
  <si>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</si>
  <si>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</si>
  <si>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</si>
  <si>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</si>
  <si>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</si>
  <si>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</si>
  <si>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</si>
  <si>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</si>
  <si>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</si>
  <si>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</si>
  <si>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</si>
  <si>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</si>
  <si>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</si>
  <si>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</si>
  <si>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</si>
  <si>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</si>
  <si>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</si>
  <si>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</si>
  <si>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</si>
  <si>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</si>
  <si>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</si>
  <si>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</si>
  <si>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</si>
  <si>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</si>
  <si>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</si>
  <si>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</si>
  <si>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</si>
  <si>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</si>
  <si>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</si>
  <si>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</si>
  <si>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</si>
  <si>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</si>
  <si>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</si>
  <si>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</si>
  <si>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</si>
  <si>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</si>
  <si>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</si>
  <si>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</si>
  <si>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</si>
  <si>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</si>
  <si>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</si>
  <si>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</si>
  <si>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</si>
  <si>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</si>
  <si>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</si>
  <si>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</si>
  <si>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</si>
  <si>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</si>
  <si>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</si>
  <si>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</si>
  <si>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</si>
  <si>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</si>
  <si>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</si>
  <si>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</si>
  <si>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</si>
  <si>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</si>
  <si>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</si>
  <si>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</si>
  <si>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</si>
  <si>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</si>
  <si>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</si>
  <si>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</si>
  <si>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</si>
  <si>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</si>
  <si>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</si>
  <si>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</si>
  <si>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</si>
  <si>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</si>
  <si>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</si>
  <si>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</si>
  <si>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</si>
  <si>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</si>
  <si>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</si>
  <si>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</si>
  <si>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</si>
  <si>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</si>
  <si>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</si>
  <si>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</si>
  <si>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</si>
  <si>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</si>
  <si>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</si>
  <si>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</si>
  <si>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</si>
  <si>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</si>
  <si>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</si>
  <si>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</si>
  <si>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</si>
  <si>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</si>
  <si>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</si>
  <si>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</si>
  <si>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</si>
  <si>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</si>
  <si>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</si>
  <si>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</si>
  <si>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</si>
  <si>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</si>
  <si>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</si>
  <si>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</si>
  <si>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</si>
  <si>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</si>
  <si>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</si>
  <si>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</si>
  <si>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</si>
  <si>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</si>
  <si>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</si>
  <si>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</si>
  <si>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</si>
  <si>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</si>
  <si>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</si>
  <si>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</si>
  <si>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</si>
  <si>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</si>
  <si>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</si>
  <si>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</si>
  <si>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</si>
  <si>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</si>
  <si>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</si>
  <si>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</si>
  <si>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</si>
  <si>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</si>
  <si>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</si>
  <si>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</si>
  <si>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</si>
  <si>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</si>
  <si>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</si>
  <si>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</si>
  <si>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</si>
  <si>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</si>
  <si>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</si>
  <si>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</si>
  <si>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</si>
  <si>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</si>
  <si>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</si>
  <si>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</si>
  <si>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</si>
  <si>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</si>
  <si>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</si>
  <si>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</si>
  <si>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</si>
  <si>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</si>
  <si>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</si>
  <si>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</si>
  <si>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</si>
  <si>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</si>
  <si>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</si>
  <si>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</si>
  <si>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</si>
  <si>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</si>
  <si>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</si>
  <si>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</si>
  <si>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</si>
  <si>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</si>
  <si>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</si>
  <si>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</si>
  <si>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</si>
  <si>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</si>
  <si>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</si>
  <si>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</si>
  <si>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</si>
  <si>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</si>
  <si>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</si>
  <si>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</si>
  <si>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</si>
  <si>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</si>
  <si>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</si>
  <si>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</si>
  <si>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</si>
  <si>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</si>
  <si>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</si>
  <si>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</si>
  <si>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</si>
  <si>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</si>
  <si>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</si>
  <si>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</si>
  <si>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</si>
  <si>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</si>
  <si>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</si>
  <si>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</si>
  <si>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</si>
  <si>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</si>
  <si>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</si>
  <si>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</si>
  <si>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</si>
  <si>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</si>
  <si>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</si>
  <si>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</si>
  <si>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</si>
  <si>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</si>
  <si>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</si>
  <si>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</si>
  <si>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</si>
  <si>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</si>
  <si>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</si>
  <si>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</si>
  <si>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</si>
  <si>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</si>
  <si>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</si>
  <si>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</si>
  <si>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</si>
  <si>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</si>
  <si>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</si>
  <si>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</si>
  <si>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</si>
  <si>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</si>
  <si>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</si>
  <si>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</si>
  <si>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</si>
  <si>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</si>
  <si>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</si>
  <si>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</si>
  <si>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</si>
  <si>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</si>
  <si>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</si>
  <si>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</si>
  <si>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</si>
  <si>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</si>
  <si>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</si>
  <si>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</si>
  <si>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</si>
  <si>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</si>
  <si>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</si>
  <si>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</si>
  <si>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</si>
  <si>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</si>
  <si>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</si>
  <si>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</si>
  <si>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</si>
  <si>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</si>
  <si>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</si>
  <si>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</si>
  <si>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</si>
  <si>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</si>
  <si>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</si>
  <si>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</si>
  <si>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</si>
  <si>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</si>
  <si>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</si>
  <si>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</si>
  <si>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</si>
  <si>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</si>
  <si>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</si>
  <si>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</si>
  <si>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</si>
  <si>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</si>
  <si>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</si>
  <si>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</si>
  <si>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</si>
  <si>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</si>
  <si>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</si>
  <si>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</si>
  <si>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</si>
  <si>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</si>
  <si>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</si>
  <si>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</si>
  <si>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</si>
  <si>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</si>
  <si>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</si>
  <si>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</si>
  <si>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</si>
  <si>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</si>
  <si>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</si>
  <si>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</si>
  <si>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</si>
  <si>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</si>
  <si>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</si>
  <si>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</si>
  <si>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</si>
  <si>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</si>
  <si>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</si>
  <si>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</si>
  <si>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https://portal.eias.ru/Portal/DownloadPage.aspx?type=12&amp;guid=ba9838a0-6f7f-4e6e-9056-f132f9625ca6</t>
  </si>
  <si>
    <t>https://portal.eias.ru/Portal/DownloadPage.aspx?type=12&amp;guid=c36b9db9-7c66-40d6-87f2-5fa0043cb4e1</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</si>
  <si>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</si>
  <si>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</si>
  <si>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</si>
  <si>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</si>
  <si>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</si>
  <si>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</si>
  <si>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</si>
  <si>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</si>
  <si>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</si>
  <si>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</si>
  <si>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</si>
  <si>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</si>
  <si>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</si>
  <si>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</si>
  <si>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</si>
  <si>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</si>
  <si>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</si>
  <si>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</si>
  <si>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</si>
  <si>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</si>
  <si>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</si>
  <si>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</si>
  <si>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</si>
  <si>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</si>
  <si>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</si>
  <si>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</si>
  <si>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</si>
  <si>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</si>
  <si>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</si>
  <si>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</si>
  <si>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</si>
  <si>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</si>
  <si>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</si>
  <si>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</si>
  <si>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</si>
  <si>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</si>
  <si>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</si>
  <si>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</si>
  <si>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</si>
  <si>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</si>
  <si>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</si>
  <si>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</si>
  <si>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</si>
  <si>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</si>
  <si>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</si>
  <si>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</si>
  <si>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</si>
  <si>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</si>
  <si>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</si>
  <si>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</si>
  <si>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</si>
  <si>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</si>
  <si>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</si>
  <si>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</si>
  <si>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</si>
  <si>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</si>
  <si>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</si>
  <si>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</si>
  <si>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</si>
  <si>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</si>
  <si>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</si>
  <si>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</si>
  <si>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</si>
  <si>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</si>
  <si>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</si>
  <si>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</si>
  <si>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</si>
  <si>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</si>
  <si>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</si>
  <si>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</si>
  <si>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</si>
  <si>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</si>
  <si>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</si>
  <si>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</si>
  <si>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</si>
  <si>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</si>
  <si>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</si>
  <si>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</si>
  <si>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</si>
  <si>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</si>
  <si>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</si>
  <si>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</si>
  <si>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</si>
  <si>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</si>
  <si>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</si>
  <si>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</si>
  <si>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</si>
  <si>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</si>
  <si>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</si>
  <si>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</si>
  <si>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</si>
  <si>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</si>
  <si>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t>
  </si>
  <si>
    <t>улучшение качества; повышение надёжности и энергетической эффективности</t>
  </si>
  <si>
    <t>Департамент жилищно-коммунального комплекса и энергетики Ханты-Мансийского автономного округа – Югры</t>
  </si>
  <si>
    <t>Администрация города Сургута</t>
  </si>
  <si>
    <t>01.01.2023</t>
  </si>
  <si>
    <t>31.12.2025</t>
  </si>
  <si>
    <t>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</si>
  <si>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Приказ</t>
  </si>
  <si>
    <t>42-Пр-15</t>
  </si>
  <si>
    <t>28.10.2022</t>
  </si>
  <si>
    <t>О внесении изменений в приказ Департамента строительства и жилищно-коммунального комплекса Ханты-Мансийского автономного округа – Югры от 28 октября 2022 года №42-Пр-15 «Об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</si>
  <si>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46-Пр-98</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</si>
  <si>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</si>
  <si>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</si>
  <si>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</si>
  <si>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</si>
  <si>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</si>
  <si>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</si>
  <si>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</si>
  <si>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</si>
  <si>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</si>
  <si>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</si>
  <si>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</si>
  <si>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</si>
  <si>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</si>
  <si>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</si>
  <si>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</si>
  <si>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</si>
  <si>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</si>
  <si>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</si>
  <si>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</si>
  <si>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</si>
  <si>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</si>
  <si>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</si>
  <si>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</si>
  <si>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</si>
  <si>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</si>
  <si>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</si>
  <si>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</si>
  <si>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</si>
  <si>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</si>
  <si>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</si>
  <si>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</si>
  <si>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</si>
  <si>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VSNA_IP_EVENT_SUBGROUP_1_LIST</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</si>
  <si>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</si>
  <si>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новых сетей водоснабжения в целях подключения потребителей</t>
  </si>
  <si>
    <t>Строительство сетей водоснабжения до границ земельного участка присоединяемых к централизованной системе водоснабжения объектов капитального строительства (Станция скорой медицинской помощи в г. Сургут)</t>
  </si>
  <si>
    <t>Октябрь</t>
  </si>
  <si>
    <t>2023</t>
  </si>
  <si>
    <t>Декабрь</t>
  </si>
  <si>
    <t>Станция обезжелезивания воды производительностью 20000м3/сут., 8-й пром.узел (20076)</t>
  </si>
  <si>
    <t>НС с ОС и сетями</t>
  </si>
  <si>
    <t>г Сургут</t>
  </si>
  <si>
    <t>71876000001</t>
  </si>
  <si>
    <t>Нефтеюганское шоссе</t>
  </si>
  <si>
    <t>31 стр.2</t>
  </si>
  <si>
    <t xml:space="preserve">  Средства, полученные за счет платы за подключение (технологическое присоединение)</t>
  </si>
  <si>
    <t>Добавить источник финансирования</t>
  </si>
  <si>
    <t>Добавить объект инфраструктуры</t>
  </si>
  <si>
    <t>Строительство сетей водоснабжения до границ земельного участка присоединяемых к централизованной системе водоснабжения объектов капитального строительства (Станция переливания крови в г. Сургут)</t>
  </si>
  <si>
    <t>Ноябрь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</si>
  <si>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</si>
  <si>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Устройство второго ввода водопровода на центральный тепловой пункт – 10</t>
  </si>
  <si>
    <t>Не выполнено в соответствии с планом</t>
  </si>
  <si>
    <t>Станция обезжелезивания воды 9 промузел (10077)</t>
  </si>
  <si>
    <t>Тюменский тракт</t>
  </si>
  <si>
    <t>20</t>
  </si>
  <si>
    <t xml:space="preserve">     Амортизационные отчисления за исключением переоценки основных средств и нематериальных активов</t>
  </si>
  <si>
    <t>Устройство второго ввода водопровода на центральный тепловой пункт – 60</t>
  </si>
  <si>
    <t>Устройство второго ввода водопровода на центральный тепловой пункт – 71</t>
  </si>
  <si>
    <t>Закольцовка водоводов по ул. Нефтяников от ТК-1 (сущ.) до ТК (проект.)</t>
  </si>
  <si>
    <t>Строительство магистрального водовода по ул. Мелик-Карамова от проезда Тихий до ул. Энергетиков в г. Сургуте</t>
  </si>
  <si>
    <t>Июнь</t>
  </si>
  <si>
    <t xml:space="preserve">  Кредиты</t>
  </si>
  <si>
    <t>Бурение новых скважин и обустройство павильонов с технологической обвязкой на 8-м, 8А, 9 промузлах (1 скважина)</t>
  </si>
  <si>
    <t>Станция обезжелезивания водозабора уз. №8"А" (10113)</t>
  </si>
  <si>
    <t>31</t>
  </si>
  <si>
    <t>Монтаж системы связи (оптоволоконная линия с конечным оборудованием) для скважин западной группы 8-й промузел</t>
  </si>
  <si>
    <t>Монтаж системы связи (оптоволоконная линия с конечным оборудованием) для скважин восточной группы на 8 промузле.</t>
  </si>
  <si>
    <t>VSNA_IP_EVENT_SUBGROUP_3_LIST</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</si>
  <si>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</si>
  <si>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сетей водоснабжения</t>
  </si>
  <si>
    <t xml:space="preserve">Водопроводные сети Дзержинского 7/3 до ЦТП-36, 8 мкрн. 7,7А. Реконструкция существующей водопроводной сети, методом ГНБ от ВК1 до ЦТП-8 с прокладкой ответвления на ЦТП-36 </t>
  </si>
  <si>
    <t>Водопроводные сети от ж/д Майская 8/1 до ЦТП-8 мкр.7. Модернизация существующего водовода</t>
  </si>
  <si>
    <t>«Модернизация объекта: «Магистральные сети водоснабжения по ул. 5в (Югорская)». Участок от ВК-1сущ. (ПГ) до ВК-3 сущ. (ПГ)», инвентарный номер 30902</t>
  </si>
  <si>
    <t>2024</t>
  </si>
  <si>
    <t xml:space="preserve">Техническое перевооружение существующих магистральных сетей водопровода от ВК-16 до ПГ-5 объекта: Магистральные сети водопровода от узла А ВК-108-103 пр. Ленина </t>
  </si>
  <si>
    <t xml:space="preserve">  Прочие</t>
  </si>
  <si>
    <t>15</t>
  </si>
  <si>
    <t>Реконструкция объекта: Сооружение: закольцовка водовода, г.Сургут, кв. "А" от ПГ-1 ул. Григория Кукуевицкого от водовода по пр. Ленина</t>
  </si>
  <si>
    <t>16</t>
  </si>
  <si>
    <t>Реконструкция объекта: Водовод от 8 пром/узла до ВК-25 ул. 50 лет ВЛКСМ. Участок от ВК (ул. Маяковского, д.42) до ВК (ул. Профсоюзов) с устройством ВК</t>
  </si>
  <si>
    <t>17</t>
  </si>
  <si>
    <t>«Реконструкция объекта: «Закольцовка водопровода», участок от ул. Кукуевицкого, 12 до ВК по ул. Кукуевицкого, 18», инвентарный номер 30686</t>
  </si>
  <si>
    <t>Сентябрь</t>
  </si>
  <si>
    <t>18</t>
  </si>
  <si>
    <t>Реконструкция существующего водовода с выносом сетей из технического подполья МКД ул. Республики,82,84 от точки "А" до точки врезки в сущ. трубопровод (ввод в ЦТП-71) объекта: Водовод до ЦТП-71, мкр.8</t>
  </si>
  <si>
    <t>19</t>
  </si>
  <si>
    <t>Водопровод от ВК-5 до ВК-8. Участок от ВК-5 до точки А. Санация стальной трубы водопровода полиэтиленовыми трубами</t>
  </si>
  <si>
    <t>реконструкция или модернизация существующих объектов водоснабжения, за исключением сетей водоснабжения</t>
  </si>
  <si>
    <t>«Установка новых аэраторов станции обезжелезивания с демонтажем аэраторов, заменой трубопроводной обвязки, оборудования системы вентиляции согласно рабочей документации на 9-ом промузле»</t>
  </si>
  <si>
    <t>2025</t>
  </si>
  <si>
    <t>21</t>
  </si>
  <si>
    <t>Выполнение проектно-изыскательских и строительно-монтажных работ на объекте: "Водозаборные сооружения: водоводы артезианских скважин пром.узел 9" Модернизация сборных водоводов Ду 150, 200 мм с отсекающей запорной арматурой, устройством колодцев</t>
  </si>
  <si>
    <t>22</t>
  </si>
  <si>
    <t>Замена  тельфера г/п 2тн. на станции обезжелезивания водозабора промузла 8А</t>
  </si>
  <si>
    <t>23</t>
  </si>
  <si>
    <t>«Модернизация электрооборудования с заменой шкафов управления на комплектное НКУ-0,4 кВ в нежилом здании производственного назначения насосная второго подъема»</t>
  </si>
  <si>
    <t>Январь</t>
  </si>
  <si>
    <t>24</t>
  </si>
  <si>
    <t>Модернизация системы принудительной приточно-вытяжной вентиляции объекта нежилое здание: станция обезжелезивания водозабора уз. №8"А"</t>
  </si>
  <si>
    <t>25</t>
  </si>
  <si>
    <t xml:space="preserve">Замена соединительного водовода Ду 500 мм на участке от камеры №3 до камеры №1 промузла 8А на объекте "Сооружение: Соединительные водоводы". </t>
  </si>
  <si>
    <t>26</t>
  </si>
  <si>
    <t>Мероприятия, направленные на повышение экологической эффективности</t>
  </si>
  <si>
    <t>Водовод от В/З №8 до магистрального водовода Ду-720мм "Нефтеюганское шоссе – Черный Мыс"</t>
  </si>
  <si>
    <t>Станция обезжелезивания воды п.Гидростроитель (20311)</t>
  </si>
  <si>
    <t>27</t>
  </si>
  <si>
    <t>Магистральный водовод от водозабора 8 промузел до ул. Лермонтова</t>
  </si>
  <si>
    <t>28</t>
  </si>
  <si>
    <t>Водовод от узла 8 по ул. Лермонтова, Профсоюзов.</t>
  </si>
  <si>
    <t>VSNA_IP_EVENT_SUBGROUP_5_LIST</t>
  </si>
  <si>
    <t>29</t>
  </si>
  <si>
    <t>Вывод из эксплуатации, консервация и демонтаж объектов водоснабжения</t>
  </si>
  <si>
    <t>вывод из эксплуатации, консервация и демонтаж сетей водоснабжения</t>
  </si>
  <si>
    <t>Сооружение: водовод (г. Сургут, по Нефтеюганскому шоссе (от 8 промузла до ВК-1))</t>
  </si>
  <si>
    <t>30</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</si>
  <si>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</si>
  <si>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Ограждение водозабора промузла № 9. Реконструкции ограждения территории станции обезжелезивания 9-го пром.узла, с устройством глухого ограждения выполненного из ж/б плит</t>
  </si>
  <si>
    <t>Модернизация системы видеонаблюдения водозаборов 9, 9 А промузлов</t>
  </si>
  <si>
    <t>Производственно-бытовой корпус 9 "А" промузла, Западный промрайон (10146)</t>
  </si>
  <si>
    <t>32</t>
  </si>
  <si>
    <t>Модернизация наружного освещения объекта "Опоры наружного освещения "Территории водозаборов 9 и 9А промузлов"</t>
  </si>
  <si>
    <t>Август</t>
  </si>
  <si>
    <t>33</t>
  </si>
  <si>
    <t>Проектирование системы охранно-пожарной сигнализации на водозаборе "Кедровый лог"</t>
  </si>
  <si>
    <t>34</t>
  </si>
  <si>
    <t>Модернизация системы видеонаблюдения объектов СГМУП "ГВК" на КПП и в АБК (Аэрофлотская 4)</t>
  </si>
  <si>
    <t>Комплекс по очистке питьевой воды водозабора поселок Лунный (10133)</t>
  </si>
  <si>
    <t>35</t>
  </si>
  <si>
    <t xml:space="preserve"> «Капитальные вложения в объекты основных средств»</t>
  </si>
  <si>
    <t>36</t>
  </si>
  <si>
    <t xml:space="preserve"> «Реконструкция систем управления и диспетчеризации объектов водоснабжения»</t>
  </si>
  <si>
    <t>37</t>
  </si>
  <si>
    <t>Приобретение ПО Zulu 2021 для расчетов сетей водоснабжения</t>
  </si>
  <si>
    <t>Добавить мероприятие</t>
  </si>
  <si>
    <t>«Строительство водовода» (второй ввод водопровода на центральный тепловой пункт-67)»</t>
  </si>
  <si>
    <t>«Строительство объекта: «Магистральный водовод по ул. Аэрофлотской» (от существующего ВК по ул. 39 «З» до ВК-1 по Нефтеюганскому шоссе)»</t>
  </si>
  <si>
    <t>«Строительство объекта: «Магистральный водовод по набережной Ивана Кайдалова, проезд Тихий, улица Мелик-Карамова от проспекта Комсомольский до улицы Геологическая в городе Сургуте (2-ой и 3-й этап строительства)»</t>
  </si>
  <si>
    <t>«Реконструкция объекта: «Водовод от станции 2-го подъема до ТК-27 в пос. Таежный», инвентарный номер 31325, участок от ТК-9 до ТК-27 в поселке Таежный»</t>
  </si>
  <si>
    <t>Станция водоочистки "В-1800" (10129)</t>
  </si>
  <si>
    <t>Аэрофлотская</t>
  </si>
  <si>
    <t>47/1</t>
  </si>
  <si>
    <t>«Реконструкция сети водопровода по ул. Толстого от ВК (сущ.) до Т7 объекта: «Сети водопровода жилого фонда» и благоустройство объекта: «Сети водопровода г. Сургут ул. Привокзальная», инвентарный номер 31447</t>
  </si>
  <si>
    <t>«Реконструкция объекта: «Магистральный водовод по ул. Майская», участок от ВК-3 до ВК-5. Санация стальной трубы водопровода полиэтиленовой трубой», инвентарный номер 660</t>
  </si>
  <si>
    <t>вывод из эксплуатации, консервация и демонтаж иных объектов водоснабжения, за исключением сетей водоснабжения</t>
  </si>
  <si>
    <t>«Тампонаж водозаборных скважин: 
- «Нежилое здание, инв. № 20331» (водозаборная скважина №6 (7165), район Аэропорта; 
- «Артезианская скважина 20-311», пром. узел 9, инв. № 20160»;
- «Артезианская скважина СР-386, пром. узел 8А, инв. № 20255»</t>
  </si>
  <si>
    <t>«Модернизация системы видеонаблюдения водозабора «Аэропорт», («Станция водоочистки «В-1800»)», инвентарный номер 10129</t>
  </si>
  <si>
    <t>«Модернизация охранно-пожарной сигнализации по объектам:
«Система охранно-пожарной сигнализации на водозаборе 8-го промузла»,
«Система охранно-пожарной сигнализации на водозаборе 9 -го промузла» в рамках проведения мероприятий по защите объектов централизованных систем холодного водоснабжения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t>
  </si>
  <si>
    <t>«Реконструкция объекта: «Закольцовка водовода», на участке Ду-500мм от ВК-1 (кольцо бизнес-центр) до ВК-6 по ул. Магистральная 10», инвентарный номер 31374</t>
  </si>
  <si>
    <t>«Демонтаж объекта: «Резервуар чистой воды №1 10000 м3, пром. узел № 8А», инвентарный номер 31721</t>
  </si>
  <si>
    <t>«Реконструкция ограждения объекта «Благоустройство и проезды 8 «А» промузла», инвентарный номер 20198</t>
  </si>
  <si>
    <t>«Реконструкция ограждения объекта: «Благоустройство Западной группы скважин» 8 промузла», инвентарный номер 20258</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</si>
  <si>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</si>
  <si>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</si>
  <si>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</si>
  <si>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</si>
  <si>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</si>
  <si>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</si>
  <si>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</si>
  <si>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</si>
  <si>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</si>
  <si>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</si>
  <si>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</si>
  <si>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</si>
  <si>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</si>
  <si>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</si>
  <si>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</si>
  <si>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</si>
  <si>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</si>
  <si>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</si>
  <si>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</si>
  <si>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</si>
  <si>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</si>
  <si>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</si>
  <si>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</si>
  <si>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</si>
  <si>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</si>
  <si>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</si>
  <si>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</si>
  <si>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</si>
  <si>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</si>
  <si>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</si>
  <si>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</si>
  <si>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</si>
  <si>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</si>
  <si>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</si>
  <si>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</si>
  <si>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</si>
  <si>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</si>
  <si>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</si>
  <si>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</si>
  <si>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</si>
  <si>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</si>
  <si>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</si>
  <si>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</si>
  <si>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</si>
  <si>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</si>
  <si>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</si>
  <si>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</si>
  <si>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</si>
  <si>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</si>
  <si>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</si>
  <si>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</si>
  <si>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</si>
  <si>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</si>
  <si>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</si>
  <si>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</si>
  <si>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</si>
  <si>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</si>
  <si>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</si>
  <si>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</si>
  <si>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</si>
  <si>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</si>
  <si>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</si>
  <si>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</si>
  <si>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</si>
  <si>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</si>
  <si>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</si>
  <si>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</si>
  <si>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</si>
  <si>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</si>
  <si>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</si>
  <si>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</si>
  <si>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</si>
  <si>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</si>
  <si>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</si>
  <si>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</si>
  <si>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</si>
  <si>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</si>
  <si>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</si>
  <si>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</si>
  <si>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</si>
  <si>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</si>
  <si>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</si>
  <si>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</si>
  <si>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</si>
  <si>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</si>
  <si>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</si>
  <si>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</si>
  <si>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</si>
  <si>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</si>
  <si>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</si>
  <si>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</si>
  <si>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</si>
  <si>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</si>
  <si>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</si>
  <si>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</si>
  <si>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</si>
  <si>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</si>
  <si>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</si>
  <si>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</si>
  <si>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</si>
  <si>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улучшение качества</t>
  </si>
  <si>
    <t>в целом на инвестиционную программу</t>
  </si>
  <si>
    <t>повышение надёжности и энергетической эффективности</t>
  </si>
  <si>
    <t>по мероприятиям</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</si>
  <si>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</si>
  <si>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</si>
  <si>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</si>
  <si>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</si>
  <si>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</si>
  <si>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</si>
  <si>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</si>
  <si>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</si>
  <si>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</si>
  <si>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</si>
  <si>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</si>
  <si>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</si>
  <si>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</si>
  <si>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</si>
  <si>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</si>
  <si>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</si>
  <si>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</si>
  <si>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</si>
  <si>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</si>
  <si>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</si>
  <si>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</si>
  <si>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</si>
  <si>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</si>
  <si>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</si>
  <si>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</si>
  <si>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</si>
  <si>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</si>
  <si>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</si>
  <si>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</si>
  <si>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</si>
  <si>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</si>
  <si>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</si>
  <si>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</si>
  <si>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</si>
  <si>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</si>
  <si>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</si>
  <si>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</si>
  <si>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</si>
  <si>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</si>
  <si>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</si>
  <si>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</si>
  <si>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</si>
  <si>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</si>
  <si>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</si>
  <si>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</si>
  <si>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</si>
  <si>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</si>
  <si>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</si>
  <si>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</si>
  <si>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</si>
  <si>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</si>
  <si>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</si>
  <si>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</si>
  <si>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</si>
  <si>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</si>
  <si>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</si>
  <si>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</si>
  <si>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</si>
  <si>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</si>
  <si>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</si>
  <si>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</si>
  <si>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</si>
  <si>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</si>
  <si>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</si>
  <si>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</si>
  <si>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</si>
  <si>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</si>
  <si>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</si>
  <si>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</si>
  <si>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</si>
  <si>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</si>
  <si>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</si>
  <si>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</si>
  <si>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</si>
  <si>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</si>
  <si>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</si>
  <si>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</si>
  <si>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</si>
  <si>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</si>
  <si>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</si>
  <si>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</si>
  <si>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</si>
  <si>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</si>
  <si>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</si>
  <si>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</si>
  <si>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</si>
  <si>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</si>
  <si>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</si>
  <si>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</si>
  <si>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</si>
  <si>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</si>
  <si>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</si>
  <si>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</si>
  <si>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</si>
  <si>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</si>
  <si>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</si>
  <si>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</si>
  <si>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</si>
  <si>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</si>
  <si>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</si>
  <si>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</si>
  <si>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</si>
  <si>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</si>
  <si>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</si>
  <si>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</si>
  <si>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</si>
  <si>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</si>
  <si>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</si>
  <si>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</si>
  <si>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</si>
  <si>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</si>
  <si>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</si>
  <si>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</si>
  <si>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</si>
  <si>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</si>
  <si>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</si>
  <si>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</si>
  <si>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</si>
  <si>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</si>
  <si>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</si>
  <si>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</si>
  <si>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</si>
  <si>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</si>
  <si>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</si>
  <si>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</si>
  <si>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</si>
  <si>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</si>
  <si>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</si>
  <si>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</si>
  <si>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</si>
  <si>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</si>
  <si>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</si>
  <si>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</si>
  <si>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</si>
  <si>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</si>
  <si>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</si>
  <si>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</si>
  <si>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</si>
  <si>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</si>
  <si>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</si>
  <si>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</si>
  <si>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</si>
  <si>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</si>
  <si>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</si>
  <si>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</si>
  <si>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</si>
  <si>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</si>
  <si>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</si>
  <si>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</si>
  <si>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</si>
  <si>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</si>
  <si>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</si>
  <si>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</si>
  <si>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</si>
  <si>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</si>
  <si>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</si>
  <si>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</si>
  <si>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</si>
  <si>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</si>
  <si>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</si>
  <si>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</si>
  <si>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</si>
  <si>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</si>
  <si>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</si>
  <si>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</si>
  <si>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</si>
  <si>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</si>
  <si>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</si>
  <si>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</si>
  <si>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</si>
  <si>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</si>
  <si>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</si>
  <si>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</si>
  <si>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</si>
  <si>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</si>
  <si>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</si>
  <si>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</si>
  <si>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</si>
  <si>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</si>
  <si>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</si>
  <si>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</si>
  <si>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</si>
  <si>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</si>
  <si>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</si>
  <si>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</si>
  <si>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</si>
  <si>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</si>
  <si>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</si>
  <si>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</si>
  <si>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</si>
  <si>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</si>
  <si>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</si>
  <si>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</si>
  <si>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</si>
  <si>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</si>
  <si>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</si>
  <si>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</si>
  <si>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</si>
  <si>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</si>
  <si>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</si>
  <si>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</si>
  <si>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</si>
  <si>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</si>
  <si>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</si>
  <si>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</si>
  <si>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</si>
  <si>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</si>
  <si>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</si>
  <si>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</si>
  <si>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</si>
  <si>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</si>
  <si>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</si>
  <si>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</si>
  <si>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</si>
  <si>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</si>
  <si>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</si>
  <si>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</si>
  <si>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</si>
  <si>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</si>
  <si>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</si>
  <si>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</si>
  <si>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</si>
  <si>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</si>
  <si>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</si>
  <si>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</si>
  <si>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</si>
  <si>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</si>
  <si>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</si>
  <si>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</si>
  <si>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</si>
  <si>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</si>
  <si>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</si>
  <si>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</si>
  <si>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</si>
  <si>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</si>
  <si>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</si>
  <si>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</si>
  <si>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</si>
  <si>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</si>
  <si>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</si>
  <si>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</si>
  <si>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</si>
  <si>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</si>
  <si>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</si>
  <si>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</si>
  <si>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</si>
  <si>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</si>
  <si>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</si>
  <si>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</si>
  <si>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</si>
  <si>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</si>
  <si>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</si>
  <si>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</si>
  <si>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</si>
  <si>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</si>
  <si>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</si>
  <si>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</si>
  <si>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</si>
  <si>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</si>
  <si>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</si>
  <si>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</si>
  <si>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</si>
  <si>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</si>
  <si>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</si>
  <si>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</si>
  <si>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</si>
  <si>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</si>
  <si>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</si>
  <si>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</si>
  <si>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</si>
  <si>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</si>
  <si>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</si>
  <si>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</si>
  <si>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</si>
  <si>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</si>
  <si>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</si>
  <si>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</si>
  <si>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</si>
  <si>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</si>
  <si>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</si>
  <si>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</si>
  <si>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</si>
  <si>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</si>
  <si>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</si>
  <si>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</si>
  <si>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</si>
  <si>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</si>
  <si>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</si>
  <si>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</si>
  <si>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</si>
  <si>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</si>
  <si>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</si>
  <si>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</si>
  <si>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</si>
  <si>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</si>
  <si>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</si>
  <si>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</si>
  <si>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</si>
  <si>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</si>
  <si>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</si>
  <si>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</si>
  <si>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</si>
  <si>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</si>
  <si>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</si>
  <si>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</si>
  <si>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</si>
  <si>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</si>
  <si>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</si>
  <si>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</si>
  <si>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</si>
  <si>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</si>
  <si>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</si>
  <si>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</si>
  <si>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</si>
  <si>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</si>
  <si>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</si>
  <si>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</si>
  <si>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</si>
  <si>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</si>
  <si>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</si>
  <si>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</si>
  <si>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</si>
  <si>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</si>
  <si>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</si>
  <si>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</si>
  <si>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</si>
  <si>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</si>
  <si>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</si>
  <si>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</si>
  <si>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</si>
  <si>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</si>
  <si>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</si>
  <si>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</si>
  <si>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</si>
  <si>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</si>
  <si>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</si>
  <si>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</si>
  <si>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</si>
  <si>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</si>
  <si>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</si>
  <si>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</si>
  <si>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</si>
  <si>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</si>
  <si>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</si>
  <si>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</si>
  <si>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</si>
  <si>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</si>
  <si>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</si>
  <si>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</si>
  <si>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</si>
  <si>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</si>
  <si>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</si>
  <si>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</si>
  <si>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</si>
  <si>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</si>
  <si>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</si>
  <si>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</si>
  <si>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</si>
  <si>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</si>
  <si>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</si>
  <si>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</si>
  <si>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</si>
  <si>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</si>
  <si>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</si>
  <si>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</si>
  <si>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</si>
  <si>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</si>
  <si>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</si>
  <si>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</si>
  <si>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</si>
  <si>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</si>
  <si>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</si>
  <si>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</si>
  <si>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</si>
  <si>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</si>
  <si>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</si>
  <si>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</si>
  <si>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</si>
  <si>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</si>
  <si>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</si>
  <si>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</si>
  <si>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</si>
  <si>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</si>
  <si>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</si>
  <si>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</si>
  <si>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</si>
  <si>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</si>
  <si>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</si>
  <si>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</si>
  <si>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</si>
  <si>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</si>
  <si>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</si>
  <si>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</si>
  <si>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</si>
  <si>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</si>
  <si>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</si>
  <si>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</si>
  <si>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</si>
  <si>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</si>
  <si>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</si>
  <si>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</si>
  <si>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</si>
  <si>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</si>
  <si>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</si>
  <si>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</si>
  <si>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</si>
  <si>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</si>
  <si>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</si>
  <si>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</si>
  <si>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</si>
  <si>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</si>
  <si>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</si>
  <si>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</si>
  <si>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</si>
  <si>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</si>
  <si>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</si>
  <si>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</si>
  <si>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</si>
  <si>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</si>
  <si>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</si>
  <si>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</si>
  <si>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</si>
  <si>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</si>
  <si>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</si>
  <si>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</si>
  <si>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</si>
  <si>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</si>
  <si>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</si>
  <si>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</si>
  <si>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</si>
  <si>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</si>
  <si>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</si>
  <si>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</si>
  <si>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</si>
  <si>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</si>
  <si>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</si>
  <si>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</si>
  <si>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</si>
  <si>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</si>
  <si>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</si>
  <si>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</si>
  <si>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</si>
  <si>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</si>
  <si>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</si>
  <si>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</si>
  <si>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</si>
  <si>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</si>
  <si>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</si>
  <si>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</si>
  <si>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</si>
  <si>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</si>
  <si>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</si>
  <si>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</si>
  <si>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</si>
  <si>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</si>
  <si>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</si>
  <si>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</si>
  <si>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</si>
  <si>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</si>
  <si>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</si>
  <si>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</si>
  <si>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</si>
  <si>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</si>
  <si>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</si>
  <si>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</si>
  <si>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</si>
  <si>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</si>
  <si>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</si>
  <si>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</si>
  <si>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</si>
  <si>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</si>
  <si>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</si>
  <si>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</si>
  <si>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</si>
  <si>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</si>
  <si>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</si>
  <si>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</si>
  <si>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</si>
  <si>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</si>
  <si>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</si>
  <si>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</si>
  <si>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</si>
  <si>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</si>
  <si>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</si>
  <si>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</si>
  <si>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</si>
  <si>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</si>
  <si>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</si>
  <si>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</si>
  <si>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</si>
  <si>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</si>
  <si>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</si>
  <si>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</si>
  <si>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</si>
  <si>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</si>
  <si>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</si>
  <si>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</si>
  <si>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</si>
  <si>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</si>
  <si>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</si>
  <si>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</si>
  <si>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</si>
  <si>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</si>
  <si>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</si>
  <si>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</si>
  <si>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</si>
  <si>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</si>
  <si>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</si>
  <si>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</si>
  <si>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</si>
  <si>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</si>
  <si>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</si>
  <si>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</si>
  <si>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</si>
  <si>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</si>
  <si>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</si>
  <si>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</si>
  <si>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</si>
  <si>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</si>
  <si>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</si>
  <si>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</si>
  <si>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</si>
  <si>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</si>
  <si>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</si>
  <si>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</si>
  <si>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</si>
  <si>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</si>
  <si>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</si>
  <si>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</si>
  <si>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</si>
  <si>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</si>
  <si>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</si>
  <si>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</si>
  <si>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</si>
  <si>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</si>
  <si>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</si>
  <si>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</si>
  <si>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</si>
  <si>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</si>
  <si>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</si>
  <si>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</si>
  <si>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</si>
  <si>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</si>
  <si>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</si>
  <si>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</si>
  <si>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</si>
  <si>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</si>
  <si>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</si>
  <si>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</si>
  <si>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</si>
  <si>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</si>
  <si>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</si>
  <si>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</si>
  <si>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</si>
  <si>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</si>
  <si>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</si>
  <si>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</si>
  <si>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</si>
  <si>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</si>
  <si>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</si>
  <si>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</si>
  <si>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</si>
  <si>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</si>
  <si>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</si>
  <si>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</si>
  <si>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</si>
  <si>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</si>
  <si>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</si>
  <si>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</si>
  <si>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</si>
  <si>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</si>
  <si>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</si>
  <si>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</si>
  <si>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</si>
  <si>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</si>
  <si>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</si>
  <si>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</si>
  <si>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</si>
  <si>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</si>
  <si>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</si>
  <si>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</si>
  <si>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</si>
  <si>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</si>
  <si>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</si>
  <si>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</si>
  <si>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</si>
  <si>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</si>
  <si>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</si>
  <si>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</si>
  <si>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</si>
  <si>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</si>
  <si>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</si>
  <si>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</si>
  <si>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</si>
  <si>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</si>
  <si>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</si>
  <si>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</si>
  <si>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</si>
  <si>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</si>
  <si>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</si>
  <si>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</si>
  <si>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</si>
  <si>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</si>
  <si>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</si>
  <si>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</si>
  <si>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</si>
  <si>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</si>
  <si>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</si>
  <si>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</si>
  <si>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</si>
  <si>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</si>
  <si>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</si>
  <si>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</si>
  <si>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</si>
  <si>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</si>
  <si>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</si>
  <si>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</si>
  <si>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</si>
  <si>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</si>
  <si>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</si>
  <si>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</si>
  <si>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</si>
  <si>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</si>
  <si>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</si>
  <si>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</si>
  <si>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TYPE_TKO_LIST</t>
  </si>
  <si>
    <t>Херсонская область</t>
  </si>
  <si>
    <t>несортированные</t>
  </si>
  <si>
    <t>Челябинская область</t>
  </si>
  <si>
    <t>сортированные</t>
  </si>
  <si>
    <t>HEAT_IP_EVENT_SUBGROUP_3_LIST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</si>
  <si>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</si>
  <si>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</si>
  <si>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</si>
  <si>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</si>
  <si>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</si>
  <si>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</si>
  <si>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</si>
  <si>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</si>
  <si>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</si>
  <si>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</si>
  <si>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</si>
  <si>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</si>
  <si>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</si>
  <si>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</si>
  <si>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</si>
  <si>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</si>
  <si>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</si>
  <si>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</si>
  <si>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</si>
  <si>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</si>
  <si>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</si>
  <si>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</si>
  <si>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</si>
  <si>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</si>
  <si>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</si>
  <si>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</si>
  <si>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</si>
  <si>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</si>
  <si>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</si>
  <si>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</si>
  <si>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</si>
  <si>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</si>
  <si>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</si>
  <si>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</si>
  <si>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</si>
  <si>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</si>
  <si>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</si>
  <si>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</si>
  <si>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</si>
  <si>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</si>
  <si>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</si>
  <si>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</si>
  <si>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</si>
  <si>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</si>
  <si>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</si>
  <si>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</si>
  <si>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</si>
  <si>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</si>
  <si>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</si>
  <si>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</si>
  <si>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</si>
  <si>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</si>
  <si>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</si>
  <si>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</si>
  <si>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</si>
  <si>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</si>
  <si>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</si>
  <si>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</si>
  <si>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</si>
  <si>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</si>
  <si>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</si>
  <si>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</si>
  <si>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</si>
  <si>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</si>
  <si>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</si>
  <si>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</si>
  <si>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</si>
  <si>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</si>
  <si>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</si>
  <si>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</si>
  <si>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</si>
  <si>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</si>
  <si>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</si>
  <si>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</si>
  <si>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</si>
  <si>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</si>
  <si>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</si>
  <si>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</si>
  <si>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</si>
  <si>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</si>
  <si>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</si>
  <si>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</si>
  <si>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</si>
  <si>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</si>
  <si>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</si>
  <si>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</si>
  <si>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</si>
  <si>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</si>
  <si>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</si>
  <si>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</si>
  <si>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</si>
  <si>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</si>
  <si>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</si>
  <si>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</si>
  <si>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</si>
  <si>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</si>
  <si>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</si>
  <si>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</si>
  <si>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</si>
  <si>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</si>
  <si>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</si>
  <si>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</si>
  <si>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</si>
  <si>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</si>
  <si>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</si>
  <si>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</si>
  <si>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</si>
  <si>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</si>
  <si>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</si>
  <si>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</si>
  <si>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</si>
  <si>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</si>
  <si>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При заполнении мероприятий по "Группа 6. Мероприятия по защите объектов централизованных систем холодного водоснабжения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 согласно приказа от 20.08.2025 № 46-Пр-98 во вкладке "ИП.Детализация", в графе "Группа, к которой относятся  мероприятия инвестиционной программы" указана "Группа 7. Мероприятия, предусматривающие капитальные вложения в объекты основных средств и нематериальные активы регулируемых организаций,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в связи с отсутствием "Группа 6..." в перечне групп шаблона.</t>
  </si>
  <si>
    <t>Во вкладке "ИП. Детализация" по пункту 23 - 2023 года, плановая сумма равна 0,00руб., так как фактически работы по реализации мероприятия были выполнены в 2023 году, а в 2024 году произведена приемка исполняющей документации и оплата. В связи с чем плановая сумма затрат была перенесена на 2024 год.</t>
  </si>
  <si>
    <t>Во вкладке "ИП. Детализация" в части выполнения мероприятия по пунктам: 20 - 2023 года, 9 - 2024 года, 5 - 2025 года. Поясняю что в 2023 году закуплено оборудование на сумму 50 498,07 тыс. руб. В связи с неблагоприятными погодными условиями СМР были приостановлены до установления плюсовой температуры, в связи с чем мероприятие перенесено на 2024 год (сроки выполнения 2023-2024 г.). В 2024 году выполнены работы по устройству тепловой завесы, устройству фундамента реконструируемого аэратора, произведен монтаж 1 аэратора. В связи с несвоевременным исполнением подрядной организацией обязательств по реконструкции объекта, при корректировке инвестиционной программы мероприятие перенесено на 2025 год. В 2025 году подрядной организацией работы не выполнены. Ведется подготовка документации для подачи искового заявления в судебные органы за неисполнение договорных обязательств по договору.</t>
  </si>
  <si>
    <t>Во вкладке "ИП. Детализация" в части выполнения мероприятия по пунктам: 1 - 2024 года, 1 - 2025 года. Поясняю что в связи с завершением разработки ПИР в декабре 2024 года строительно-монтажные работы были перенесены на 2025 год. Выполнение работ было запланировано в следующие сроки: СМР до 30.09.2025, благоустройство до 31.10.2025. Из-за выявленных обстоятельств, в части необходимости прохождения историко-культурной экспертизы, к выполнению СМР приступили в октябре 2025 года. Подрядной организацией выполнены работы внутри здания ЦТП-67, выполнена прокладка линейной части трубопровода. СМР выполнены частично, работы по демонтажу водопроводной камеры и восстановлению нарушенного благоустройства перенесены на 2026 год.</t>
  </si>
  <si>
    <t>Во вкладке "ИП. Детализация" в части выполнения мероприятия по пункту 3 - 2025 года. Поясняю что проектно-изыскательские работы выполнены в полном объеме. Разработка ПИР выполнена несвоевременно из-за несогласования прохождения трассы с РСО, в связи с чем срок выполнения СМР изменился. СМР выполнены в полном объеме. Восстановление нарушенного благоустройства будет перенесено на 2026 год, в связи с невозможностью восстановления нарушенного благоустройства в зимний период.</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</si>
  <si>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</si>
  <si>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</si>
  <si>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</si>
  <si>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</si>
  <si>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</si>
  <si>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</si>
  <si>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</si>
  <si>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</si>
  <si>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</si>
  <si>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</si>
  <si>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</si>
  <si>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</si>
  <si>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</si>
  <si>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</si>
  <si>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</si>
  <si>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</si>
  <si>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</si>
  <si>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</si>
  <si>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</si>
  <si>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</si>
  <si>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</si>
  <si>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</si>
  <si>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</si>
  <si>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</si>
  <si>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</si>
  <si>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</si>
  <si>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</si>
  <si>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</si>
  <si>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</si>
  <si>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</si>
  <si>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</si>
  <si>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</si>
  <si>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</si>
  <si>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</si>
  <si>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</si>
  <si>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</si>
  <si>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</si>
  <si>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</si>
  <si>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</si>
  <si>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</si>
  <si>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</si>
  <si>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</si>
  <si>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</si>
  <si>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</si>
  <si>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</si>
  <si>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</si>
  <si>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</si>
  <si>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</si>
  <si>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</si>
  <si>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</si>
  <si>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</si>
  <si>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</si>
  <si>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</si>
  <si>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</si>
  <si>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</si>
  <si>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</si>
  <si>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</si>
  <si>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</si>
  <si>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</si>
  <si>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</si>
  <si>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</si>
  <si>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</si>
  <si>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</si>
  <si>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</si>
  <si>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</si>
  <si>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</si>
  <si>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</si>
  <si>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</si>
  <si>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</si>
  <si>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</si>
  <si>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</si>
  <si>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</si>
  <si>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</si>
  <si>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</si>
  <si>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</si>
  <si>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</si>
  <si>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</si>
  <si>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</si>
  <si>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</si>
  <si>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</si>
  <si>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</si>
  <si>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</si>
  <si>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</si>
  <si>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</si>
  <si>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</si>
  <si>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</si>
  <si>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</si>
  <si>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</si>
  <si>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</si>
  <si>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</si>
  <si>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</si>
  <si>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</si>
  <si>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</si>
  <si>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</si>
  <si>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</si>
  <si>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</si>
  <si>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</si>
  <si>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</si>
  <si>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</si>
  <si>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</si>
  <si>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</si>
  <si>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</si>
  <si>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</si>
  <si>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</si>
  <si>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</si>
  <si>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</si>
  <si>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</si>
  <si>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</si>
  <si>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</si>
  <si>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</si>
  <si>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</si>
  <si>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</si>
  <si>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</si>
  <si>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</si>
  <si>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</si>
  <si>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</si>
  <si>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</si>
  <si>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</si>
  <si>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</si>
  <si>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</si>
  <si>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</si>
  <si>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</si>
  <si>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</si>
  <si>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</si>
  <si>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</si>
  <si>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</si>
  <si>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</si>
  <si>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</si>
  <si>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</si>
  <si>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</si>
  <si>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</si>
  <si>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</si>
  <si>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</si>
  <si>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</si>
  <si>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</si>
  <si>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</si>
  <si>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</si>
  <si>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</si>
  <si>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</si>
  <si>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</si>
  <si>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</si>
  <si>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</si>
  <si>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</si>
  <si>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</si>
  <si>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</si>
  <si>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</si>
  <si>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</si>
  <si>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</si>
  <si>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</si>
  <si>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</si>
  <si>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</si>
  <si>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</si>
  <si>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</si>
  <si>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</si>
  <si>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</si>
  <si>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</si>
  <si>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</si>
  <si>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</si>
  <si>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</si>
  <si>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</si>
  <si>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</si>
  <si>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</si>
  <si>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</si>
  <si>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</si>
  <si>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</si>
  <si>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</si>
  <si>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</si>
  <si>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</si>
  <si>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</si>
  <si>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</si>
  <si>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</si>
  <si>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</si>
  <si>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</si>
  <si>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</si>
  <si>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</si>
  <si>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</si>
  <si>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</si>
  <si>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</si>
  <si>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</si>
  <si>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</si>
  <si>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</si>
  <si>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</si>
  <si>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</si>
  <si>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</si>
  <si>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</si>
  <si>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</si>
  <si>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</si>
  <si>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</si>
  <si>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</si>
  <si>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</si>
  <si>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</si>
  <si>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</si>
  <si>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</si>
  <si>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</si>
  <si>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</si>
  <si>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</si>
  <si>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</si>
  <si>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</si>
  <si>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</si>
  <si>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</si>
  <si>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</si>
  <si>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</si>
  <si>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</si>
  <si>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</si>
  <si>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</si>
  <si>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</si>
  <si>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</si>
  <si>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</si>
  <si>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</si>
  <si>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</si>
  <si>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</si>
  <si>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</si>
  <si>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</si>
  <si>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</si>
  <si>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</si>
  <si>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</si>
  <si>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</si>
  <si>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</si>
  <si>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</si>
  <si>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</si>
  <si>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</si>
  <si>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</si>
  <si>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</si>
  <si>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</si>
  <si>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</si>
  <si>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</si>
  <si>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</si>
  <si>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</si>
  <si>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</si>
  <si>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</si>
  <si>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</si>
  <si>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</si>
  <si>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</si>
  <si>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</si>
  <si>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</si>
  <si>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</si>
  <si>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</si>
  <si>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</si>
  <si>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</si>
  <si>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</si>
  <si>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</si>
  <si>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</si>
  <si>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</si>
  <si>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</si>
  <si>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</si>
  <si>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</si>
  <si>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</si>
  <si>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</si>
  <si>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</si>
  <si>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</si>
  <si>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</si>
  <si>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</si>
  <si>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</si>
  <si>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</si>
  <si>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</si>
  <si>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</si>
  <si>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</si>
  <si>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</si>
  <si>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</si>
  <si>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</si>
  <si>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</si>
  <si>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</si>
  <si>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</si>
  <si>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</si>
  <si>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</si>
  <si>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</si>
  <si>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</si>
  <si>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</si>
  <si>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</si>
  <si>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</si>
  <si>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</si>
  <si>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</si>
  <si>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</si>
  <si>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</si>
  <si>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</si>
  <si>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</si>
  <si>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</si>
  <si>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</si>
  <si>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</si>
  <si>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</si>
  <si>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</si>
  <si>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</si>
  <si>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</si>
  <si>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</si>
  <si>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</si>
  <si>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</si>
  <si>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</si>
  <si>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</si>
  <si>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</si>
  <si>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</si>
  <si>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</si>
  <si>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</si>
  <si>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</si>
  <si>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</si>
  <si>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</si>
  <si>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</si>
  <si>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</si>
  <si>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</si>
  <si>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</si>
  <si>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</si>
  <si>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</si>
  <si>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</si>
  <si>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</si>
  <si>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</si>
  <si>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</si>
  <si>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</si>
  <si>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</si>
  <si>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</si>
  <si>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</si>
  <si>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</si>
  <si>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</si>
  <si>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</si>
  <si>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</si>
  <si>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</si>
  <si>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</si>
  <si>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</si>
  <si>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</si>
  <si>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</si>
  <si>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</si>
  <si>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</si>
  <si>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</si>
  <si>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</si>
  <si>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</si>
  <si>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</si>
  <si>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</si>
  <si>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</si>
  <si>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</si>
  <si>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</si>
  <si>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</si>
  <si>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</si>
  <si>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</si>
  <si>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</si>
  <si>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</si>
  <si>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</si>
  <si>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</si>
  <si>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</si>
  <si>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</si>
  <si>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</si>
  <si>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</si>
  <si>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</si>
  <si>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</si>
  <si>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</si>
  <si>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</si>
  <si>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</si>
  <si>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</si>
  <si>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</si>
  <si>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</si>
  <si>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</si>
  <si>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</si>
  <si>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</si>
  <si>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</si>
  <si>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</si>
  <si>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</si>
  <si>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</si>
  <si>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</si>
  <si>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</si>
  <si>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</si>
  <si>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</si>
  <si>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</si>
  <si>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</si>
  <si>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</si>
  <si>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</si>
  <si>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</si>
  <si>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</si>
  <si>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</si>
  <si>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</si>
  <si>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</si>
  <si>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30335229</t>
  </si>
  <si>
    <t>АО "ГУ ЖКХ"</t>
  </si>
  <si>
    <t>5116000922</t>
  </si>
  <si>
    <t>770401001</t>
  </si>
  <si>
    <t>26320074</t>
  </si>
  <si>
    <t>АО "Городские электрические сети"</t>
  </si>
  <si>
    <t>8603004190</t>
  </si>
  <si>
    <t>860301001</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</si>
  <si>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</si>
  <si>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</si>
  <si>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</si>
  <si>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</si>
  <si>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</si>
  <si>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</si>
  <si>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</si>
  <si>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</si>
  <si>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</si>
  <si>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</si>
  <si>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</si>
  <si>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</si>
  <si>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</si>
  <si>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</si>
  <si>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</si>
  <si>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</si>
  <si>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</si>
  <si>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</si>
  <si>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</si>
  <si>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</si>
  <si>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</si>
  <si>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</si>
  <si>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</si>
  <si>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</si>
  <si>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</si>
  <si>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</si>
  <si>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</si>
  <si>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</si>
  <si>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</si>
  <si>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</si>
  <si>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</si>
  <si>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</si>
  <si>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</si>
  <si>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</si>
  <si>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</si>
  <si>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</si>
  <si>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</si>
  <si>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</si>
  <si>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</si>
  <si>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</si>
  <si>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</si>
  <si>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</si>
  <si>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</si>
  <si>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</si>
  <si>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</si>
  <si>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860101001</t>
  </si>
  <si>
    <t>13-08-2008 00:00:00</t>
  </si>
  <si>
    <t>28856006</t>
  </si>
  <si>
    <t>АО "Юграавиа"</t>
  </si>
  <si>
    <t>8601053210</t>
  </si>
  <si>
    <t>26361211</t>
  </si>
  <si>
    <t>АО «Аэропорт Сургут»</t>
  </si>
  <si>
    <t>8602060523</t>
  </si>
  <si>
    <t>04-09-1997 00:00:00</t>
  </si>
  <si>
    <t>26535092</t>
  </si>
  <si>
    <t>АО «Самотлорнефтегаз»</t>
  </si>
  <si>
    <t>8603089934</t>
  </si>
  <si>
    <t>997250001</t>
  </si>
  <si>
    <t>26460985</t>
  </si>
  <si>
    <t>АО «ЮТЭК-Региональные сети»</t>
  </si>
  <si>
    <t>8601033125</t>
  </si>
  <si>
    <t>10-10-2007 00:00:00</t>
  </si>
  <si>
    <t>31002476</t>
  </si>
  <si>
    <t>АО «Югорский лесопромышленный холдинг»</t>
  </si>
  <si>
    <t>8601022074</t>
  </si>
  <si>
    <t>26361265</t>
  </si>
  <si>
    <t>АО Кондаавиа</t>
  </si>
  <si>
    <t>8616004744</t>
  </si>
  <si>
    <t>861601001</t>
  </si>
  <si>
    <t>16-11-2002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</si>
  <si>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</si>
  <si>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</si>
  <si>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</si>
  <si>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</si>
  <si>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</si>
  <si>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</si>
  <si>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</si>
  <si>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</si>
  <si>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</si>
  <si>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</si>
  <si>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</si>
  <si>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</si>
  <si>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31460976</t>
  </si>
  <si>
    <t>Акционерное общество «ГК ХМАО-Югры «Северавтодор» в зоне деятельности филиала № 5 АО «ГК «Северавтодор»</t>
  </si>
  <si>
    <t>8602257512</t>
  </si>
  <si>
    <t>861843001</t>
  </si>
  <si>
    <t>26361214</t>
  </si>
  <si>
    <t>Акционерное общество «Завод промышленных строительных деталей»</t>
  </si>
  <si>
    <t>8602061069</t>
  </si>
  <si>
    <t>18-10-2022 00:00:00</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</si>
  <si>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</si>
  <si>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</si>
  <si>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</si>
  <si>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</si>
  <si>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</si>
  <si>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31719673</t>
  </si>
  <si>
    <t>Акционерное общество «Сургутский хлебозавод»</t>
  </si>
  <si>
    <t>8602312731</t>
  </si>
  <si>
    <t>08-12-2023 00:00:00</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</si>
  <si>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</si>
  <si>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</si>
  <si>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</si>
  <si>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</si>
  <si>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</si>
  <si>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</si>
  <si>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</si>
  <si>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</si>
  <si>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</si>
  <si>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</si>
  <si>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</si>
  <si>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</si>
  <si>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</si>
  <si>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31721058</t>
  </si>
  <si>
    <t>Индивидуальный предприниматель Дёмин Евгений Владимирович</t>
  </si>
  <si>
    <t>860306671920</t>
  </si>
  <si>
    <t>15-03-2023 00:00:00</t>
  </si>
  <si>
    <t>31701685</t>
  </si>
  <si>
    <t>Индивидуальный предприниматель Осадчук Мария Андреевна</t>
  </si>
  <si>
    <t>861006495778</t>
  </si>
  <si>
    <t>22-07-2022 00:00:00</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</si>
  <si>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</si>
  <si>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</si>
  <si>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</si>
  <si>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</si>
  <si>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</si>
  <si>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</si>
  <si>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</si>
  <si>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</si>
  <si>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</si>
  <si>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</si>
  <si>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</si>
  <si>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</si>
  <si>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</si>
  <si>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</si>
  <si>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</si>
  <si>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</si>
  <si>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</si>
  <si>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</si>
  <si>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</si>
  <si>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</si>
  <si>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</si>
  <si>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</si>
  <si>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</si>
  <si>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</si>
  <si>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</si>
  <si>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</si>
  <si>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</si>
  <si>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</si>
  <si>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</si>
  <si>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</si>
  <si>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</si>
  <si>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</si>
  <si>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</si>
  <si>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</si>
  <si>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</si>
  <si>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</si>
  <si>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</si>
  <si>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</si>
  <si>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</si>
  <si>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</si>
  <si>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</si>
  <si>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31858085</t>
  </si>
  <si>
    <t>Муниципальное предприятие муниципального образования Октябрьский район «Октябрьские коммунальные системы»</t>
  </si>
  <si>
    <t>8610033026</t>
  </si>
  <si>
    <t>06-03-2025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</si>
  <si>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</si>
  <si>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</si>
  <si>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</si>
  <si>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</si>
  <si>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</si>
  <si>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</si>
  <si>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</si>
  <si>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24-10-2002 00:00:00</t>
  </si>
  <si>
    <t>26361286</t>
  </si>
  <si>
    <t>Муниципальное унитарное предприятие "Сельское жилищно-коммунальное хозяйство"</t>
  </si>
  <si>
    <t>8620012191</t>
  </si>
  <si>
    <t>07-10-2002 00:00:00</t>
  </si>
  <si>
    <t>26361234</t>
  </si>
  <si>
    <t>Муниципальное унитарное предприятие "Тепловодоканал"</t>
  </si>
  <si>
    <t>8605013419</t>
  </si>
  <si>
    <t>860501001</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</si>
  <si>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</si>
  <si>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</si>
  <si>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</si>
  <si>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</si>
  <si>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</si>
  <si>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</si>
  <si>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</si>
  <si>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</si>
  <si>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</si>
  <si>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</si>
  <si>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</si>
  <si>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</si>
  <si>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</si>
  <si>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</si>
  <si>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31759515</t>
  </si>
  <si>
    <t>Муниципальное унитарное предприятие «Единый Водоканал» муниципального образования Березовский район</t>
  </si>
  <si>
    <t>8613009529</t>
  </si>
  <si>
    <t>01-04-2024 00:00:00</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</si>
  <si>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</si>
  <si>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</si>
  <si>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</si>
  <si>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</si>
  <si>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</si>
  <si>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</si>
  <si>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</si>
  <si>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</si>
  <si>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 городского поселения Березово</t>
  </si>
  <si>
    <t>8613004175</t>
  </si>
  <si>
    <t>11-12-2018 00:00:00</t>
  </si>
  <si>
    <t>31289574</t>
  </si>
  <si>
    <t>Муниципальное унитарное предприятие «Теплосети Игрим»</t>
  </si>
  <si>
    <t>8613007909</t>
  </si>
  <si>
    <t>12-03-2019 00:00:00</t>
  </si>
  <si>
    <t>31297000</t>
  </si>
  <si>
    <t>Муниципальное унитарное предприятие «Теплосети Саранпауль» мунципального образования Берёзовский район</t>
  </si>
  <si>
    <t>8613003799</t>
  </si>
  <si>
    <t>31356763</t>
  </si>
  <si>
    <t>Муниципальное унитарное предприятие «Управление теплоснабжения муниципального образования Октябрьский район»</t>
  </si>
  <si>
    <t>8614001674</t>
  </si>
  <si>
    <t>04-03-2019 00:00:00</t>
  </si>
  <si>
    <t>31669454</t>
  </si>
  <si>
    <t>Муниципальное унитарное предприятие Белоярского района «Белоярские коммунальные системы»</t>
  </si>
  <si>
    <t>8611013174</t>
  </si>
  <si>
    <t>01-11-2022 00:00:00</t>
  </si>
  <si>
    <t>26423557</t>
  </si>
  <si>
    <t>Муниципальное унитарное предприятие жилищно-коммунального хозяйства городского поселения Берёзово</t>
  </si>
  <si>
    <t>8613004070</t>
  </si>
  <si>
    <t>27-11-2009 00:00:00</t>
  </si>
  <si>
    <t>26452600</t>
  </si>
  <si>
    <t>Некоммерческая организация "Товарищество собственников жилья "Факел"</t>
  </si>
  <si>
    <t>8612010063</t>
  </si>
  <si>
    <t>27244819</t>
  </si>
  <si>
    <t>ОАО "Аэропорт Сургут" Березовский филиал</t>
  </si>
  <si>
    <t>861343001</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</si>
  <si>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</si>
  <si>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</si>
  <si>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</si>
  <si>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</si>
  <si>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</si>
  <si>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</si>
  <si>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</si>
  <si>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</si>
  <si>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</si>
  <si>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</si>
  <si>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</si>
  <si>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</si>
  <si>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</si>
  <si>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7201000726</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</si>
  <si>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</si>
  <si>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</si>
  <si>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</si>
  <si>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</si>
  <si>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</si>
  <si>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</si>
  <si>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</si>
  <si>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</si>
  <si>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</si>
  <si>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23-12-2025 00:00:00</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</si>
  <si>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</si>
  <si>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</si>
  <si>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</si>
  <si>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</si>
  <si>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</si>
  <si>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</si>
  <si>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</si>
  <si>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</si>
  <si>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</si>
  <si>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</si>
  <si>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</si>
  <si>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</si>
  <si>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</si>
  <si>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</si>
  <si>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</si>
  <si>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</si>
  <si>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</si>
  <si>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</si>
  <si>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</si>
  <si>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</si>
  <si>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</si>
  <si>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</si>
  <si>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</si>
  <si>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</si>
  <si>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</si>
  <si>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</si>
  <si>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</si>
  <si>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</si>
  <si>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</si>
  <si>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</si>
  <si>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</si>
  <si>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</si>
  <si>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</si>
  <si>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</si>
  <si>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</si>
  <si>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</si>
  <si>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</si>
  <si>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</si>
  <si>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</si>
  <si>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</si>
  <si>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</si>
  <si>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</si>
  <si>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</si>
  <si>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</si>
  <si>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</si>
  <si>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</si>
  <si>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</si>
  <si>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</si>
  <si>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</si>
  <si>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</si>
  <si>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</si>
  <si>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</si>
  <si>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26361276</t>
  </si>
  <si>
    <t>ООО "Газпром трансгаз Сургут" Южно-Балыкское ЛПУ МГ</t>
  </si>
  <si>
    <t>861903001</t>
  </si>
  <si>
    <t>26427611</t>
  </si>
  <si>
    <t>ООО "Горводоканал"</t>
  </si>
  <si>
    <t>8608053709</t>
  </si>
  <si>
    <t>860801001</t>
  </si>
  <si>
    <t>11-02-2009 00:00:00</t>
  </si>
  <si>
    <t>26423761</t>
  </si>
  <si>
    <t>ООО "КОММУНАЛЬНИК"</t>
  </si>
  <si>
    <t>8603118141</t>
  </si>
  <si>
    <t>28453800</t>
  </si>
  <si>
    <t>ООО "КарьерАвтоСтрой"</t>
  </si>
  <si>
    <t>8620013533</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</si>
  <si>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</si>
  <si>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</si>
  <si>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</si>
  <si>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</si>
  <si>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</si>
  <si>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</si>
  <si>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</si>
  <si>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</si>
  <si>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</si>
  <si>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</si>
  <si>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</si>
  <si>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</si>
  <si>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</si>
  <si>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</si>
  <si>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</si>
  <si>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</si>
  <si>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</si>
  <si>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</si>
  <si>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</si>
  <si>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</si>
  <si>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</si>
  <si>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</si>
  <si>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</si>
  <si>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</si>
  <si>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</si>
  <si>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</si>
  <si>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</si>
  <si>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</si>
  <si>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</si>
  <si>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</si>
  <si>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</si>
  <si>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</si>
  <si>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</si>
  <si>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</si>
  <si>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</si>
  <si>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</si>
  <si>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</si>
  <si>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</si>
  <si>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26423753</t>
  </si>
  <si>
    <t>ООО "Сибирь"</t>
  </si>
  <si>
    <t>8619010425</t>
  </si>
  <si>
    <t>861901001</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</si>
  <si>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</si>
  <si>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</si>
  <si>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</si>
  <si>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</si>
  <si>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</si>
  <si>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</si>
  <si>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</si>
  <si>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</si>
  <si>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</si>
  <si>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</si>
  <si>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</si>
  <si>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</si>
  <si>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</si>
  <si>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</si>
  <si>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</si>
  <si>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</si>
  <si>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</si>
  <si>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</si>
  <si>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</si>
  <si>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</si>
  <si>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</si>
  <si>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</si>
  <si>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</si>
  <si>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26361202</t>
  </si>
  <si>
    <t>ООО "Теплоснабжающая организация"</t>
  </si>
  <si>
    <t>8602010561</t>
  </si>
  <si>
    <t>30-04-2025 00:00:00</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</si>
  <si>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</si>
  <si>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</si>
  <si>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</si>
  <si>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</si>
  <si>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</si>
  <si>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</si>
  <si>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</si>
  <si>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</si>
  <si>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</si>
  <si>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</si>
  <si>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</si>
  <si>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</si>
  <si>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</si>
  <si>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</si>
  <si>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</si>
  <si>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</si>
  <si>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</si>
  <si>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</si>
  <si>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31279707</t>
  </si>
  <si>
    <t>ООО «АЛИНА»</t>
  </si>
  <si>
    <t>8616012872</t>
  </si>
  <si>
    <t>01-01-2020 00:00:00</t>
  </si>
  <si>
    <t>26550525</t>
  </si>
  <si>
    <t>ООО «ГАЗПРОМ ТРАНСГАЗ ЮГОРСК»</t>
  </si>
  <si>
    <t>30-09-2002 00:00:00</t>
  </si>
  <si>
    <t>31655643</t>
  </si>
  <si>
    <t>ООО «Газпром Трансгаз Югорск» Белоярское управление технологического транспорта и специальной техники</t>
  </si>
  <si>
    <t>861102007</t>
  </si>
  <si>
    <t>26361297</t>
  </si>
  <si>
    <t>ООО «Газпром Трансгаз Югорск» Перегребненское ЛПУ МГ</t>
  </si>
  <si>
    <t>861402002</t>
  </si>
  <si>
    <t>27240350</t>
  </si>
  <si>
    <t>ООО «Газпром трансгаз Сургут» Сургутское ЛПУ</t>
  </si>
  <si>
    <t>860243007</t>
  </si>
  <si>
    <t>26361291</t>
  </si>
  <si>
    <t>ООО «Газпром трансгаз Югорск» Казымское ЛПУМГ</t>
  </si>
  <si>
    <t>861102004</t>
  </si>
  <si>
    <t>26361300</t>
  </si>
  <si>
    <t>ООО «Газпром трансгаз Югорск» Управление по эксплуатации зданий и сооружений</t>
  </si>
  <si>
    <t>862202004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</si>
  <si>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</si>
  <si>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</si>
  <si>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</si>
  <si>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</si>
  <si>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</si>
  <si>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26534242</t>
  </si>
  <si>
    <t>ООО «Няганские газораспределительные сети»</t>
  </si>
  <si>
    <t>8610023966</t>
  </si>
  <si>
    <t>15-12-2009 00:00:00</t>
  </si>
  <si>
    <t>30479693</t>
  </si>
  <si>
    <t>ООО «Специализированная компания автотехники – база»</t>
  </si>
  <si>
    <t>8602228656</t>
  </si>
  <si>
    <t>30838384</t>
  </si>
  <si>
    <t>ООО «Теплосети Березово»</t>
  </si>
  <si>
    <t>8613002499</t>
  </si>
  <si>
    <t>31268261</t>
  </si>
  <si>
    <t>ООО «Теплотехник»</t>
  </si>
  <si>
    <t>8616012833</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</si>
  <si>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</si>
  <si>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</si>
  <si>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</si>
  <si>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</si>
  <si>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</si>
  <si>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</si>
  <si>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</si>
  <si>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</si>
  <si>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</si>
  <si>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</si>
  <si>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</si>
  <si>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</si>
  <si>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</si>
  <si>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</si>
  <si>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</si>
  <si>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30934476</t>
  </si>
  <si>
    <t>Общество с ограниченной ответственностью "Управление производственно-технологической комплектации"</t>
  </si>
  <si>
    <t>8608059595</t>
  </si>
  <si>
    <t>30372304</t>
  </si>
  <si>
    <t>Общество с ограниченной ответственностью «Коммунэнерго»</t>
  </si>
  <si>
    <t>8616012079</t>
  </si>
  <si>
    <t>26454986</t>
  </si>
  <si>
    <t>Общество с ограниченной ответственностью «Комплекс коммунальных платежей»</t>
  </si>
  <si>
    <t>8616010628</t>
  </si>
  <si>
    <t>04-06-2009 00:00:00</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</si>
  <si>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</si>
  <si>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</si>
  <si>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</si>
  <si>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</si>
  <si>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</si>
  <si>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</si>
  <si>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31837188</t>
  </si>
  <si>
    <t>Общество с ограниченной ответственностью «Лангепасские коммунальные системы»</t>
  </si>
  <si>
    <t>8617041019</t>
  </si>
  <si>
    <t>18-11-2024 00:00:00</t>
  </si>
  <si>
    <t>30372310</t>
  </si>
  <si>
    <t>Общество с ограниченной ответственностью «Междуреченские коммунальные системы»</t>
  </si>
  <si>
    <t>8616012417</t>
  </si>
  <si>
    <t>08-12-2025 00:00:00</t>
  </si>
  <si>
    <t>31258664</t>
  </si>
  <si>
    <t>Общество с ограниченной ответственностью «Мобильный мир»</t>
  </si>
  <si>
    <t>7203350719</t>
  </si>
  <si>
    <t>21-07-2015 00:00:00</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</si>
  <si>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</si>
  <si>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</si>
  <si>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</si>
  <si>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</si>
  <si>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</si>
  <si>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</si>
  <si>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</si>
  <si>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</si>
  <si>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</si>
  <si>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</si>
  <si>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</si>
  <si>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</si>
  <si>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</si>
  <si>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11-03-2026 00:00:00</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</si>
  <si>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</si>
  <si>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</si>
  <si>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</si>
  <si>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</si>
  <si>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</si>
  <si>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</si>
  <si>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</si>
  <si>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</si>
  <si>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</si>
  <si>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</si>
  <si>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</si>
  <si>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</si>
  <si>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</si>
  <si>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</si>
  <si>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</si>
  <si>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</si>
  <si>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</si>
  <si>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</si>
  <si>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</si>
  <si>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</si>
  <si>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</si>
  <si>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26423513</t>
  </si>
  <si>
    <t>ПАО "Сургутнефтегаз"</t>
  </si>
  <si>
    <t>8602060555</t>
  </si>
  <si>
    <t>18-09-2002 00:00:00</t>
  </si>
  <si>
    <t>26867636</t>
  </si>
  <si>
    <t>ПАО «Форвард Энерго»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</si>
  <si>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</si>
  <si>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</si>
  <si>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</si>
  <si>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</si>
  <si>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</si>
  <si>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</si>
  <si>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</si>
  <si>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</si>
  <si>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</si>
  <si>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</si>
  <si>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</si>
  <si>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</si>
  <si>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</si>
  <si>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</si>
  <si>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</si>
  <si>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</si>
  <si>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</si>
  <si>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РЕГИОНАЛЬНАЯ СЛУЖБА ПО ТАРИФАМ ХАНТЫ-МАНСИЙСКОГО АВТОНОМНОГО ОКРУГА - ЮГРЫ</t>
  </si>
  <si>
    <t>8601028608</t>
  </si>
  <si>
    <t>РЭК ТЮМЕНСКОЙ ОБЛАСТИ, ХМАО-ЮГРЫ, ЯНАО</t>
  </si>
  <si>
    <t>7202064271</t>
  </si>
  <si>
    <t>26361204</t>
  </si>
  <si>
    <t>СГ МУП "Городские тепловые сети"</t>
  </si>
  <si>
    <t>8602017038</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</si>
  <si>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</si>
  <si>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</si>
  <si>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</si>
  <si>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</si>
  <si>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</si>
  <si>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</si>
  <si>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</si>
  <si>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</si>
  <si>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</si>
  <si>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</si>
  <si>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</si>
  <si>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</si>
  <si>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</si>
  <si>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</si>
  <si>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26423487</t>
  </si>
  <si>
    <t>Филиал "Нефтеюганское управление магистральных нефтепроводов" АО "Транснефть - Сибирь"</t>
  </si>
  <si>
    <t>860402002</t>
  </si>
  <si>
    <t>26423553</t>
  </si>
  <si>
    <t>Филиал «Сургутская ГРЭС-2» ПАО «Юнипро»</t>
  </si>
  <si>
    <t>04-03-2004 00:00:00</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</si>
  <si>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</si>
  <si>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</si>
  <si>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</si>
  <si>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</si>
  <si>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</si>
  <si>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</si>
  <si>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</si>
  <si>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</si>
  <si>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</si>
  <si>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</si>
  <si>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</si>
  <si>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</si>
  <si>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</si>
  <si>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</si>
  <si>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</si>
  <si>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</si>
  <si>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</si>
  <si>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</si>
  <si>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</si>
  <si>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</si>
  <si>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</si>
  <si>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</si>
  <si>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</si>
  <si>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</si>
  <si>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</si>
  <si>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</si>
  <si>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</si>
  <si>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</si>
  <si>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26576128</t>
  </si>
  <si>
    <t>филиал ОАО «РЖД» - Свердловская ж.д. (Сургутская дистанция)</t>
  </si>
  <si>
    <t>860245012</t>
  </si>
  <si>
    <t>26453916</t>
  </si>
  <si>
    <t>АО "Водоканал"</t>
  </si>
  <si>
    <t>8606013108</t>
  </si>
  <si>
    <t>01-10-2008 00:00:00</t>
  </si>
  <si>
    <t>26560525</t>
  </si>
  <si>
    <t>511601001</t>
  </si>
  <si>
    <t>13-05-2009 00:00:00</t>
  </si>
  <si>
    <t>26768075</t>
  </si>
  <si>
    <t>АО "Томскнефть" ВНК</t>
  </si>
  <si>
    <t>7022000310</t>
  </si>
  <si>
    <t>17-09-2002 00:00:00</t>
  </si>
  <si>
    <t>26423589</t>
  </si>
  <si>
    <t>АО "Юганскводоканал"</t>
  </si>
  <si>
    <t>8604048909</t>
  </si>
  <si>
    <t>31687055</t>
  </si>
  <si>
    <t>Акционерное общество «Самотлорнефтегаз»</t>
  </si>
  <si>
    <t>19-08-2002 00:00:00</t>
  </si>
  <si>
    <t>26423569</t>
  </si>
  <si>
    <t>Муниципальное водоканализационное предприятие муниципального образования город Ханты-Мансийск</t>
  </si>
  <si>
    <t>8601001099</t>
  </si>
  <si>
    <t>26423715</t>
  </si>
  <si>
    <t>ОАО "Тюменьэнерго" филиал Сургутские электрические сети</t>
  </si>
  <si>
    <t>860203001</t>
  </si>
  <si>
    <t>26454885</t>
  </si>
  <si>
    <t>ООО "Аквалидер"</t>
  </si>
  <si>
    <t>8621000390</t>
  </si>
  <si>
    <t>21-09-2009 00:00:00</t>
  </si>
  <si>
    <t>26361244</t>
  </si>
  <si>
    <t>ООО "ЛУКОЙЛ-Западная Сибирь" Сервисный центр теплоснабжения ТПП "Урайнефтегаз"</t>
  </si>
  <si>
    <t>860632001</t>
  </si>
  <si>
    <t>26430495</t>
  </si>
  <si>
    <t>ООО "ОРИОН"</t>
  </si>
  <si>
    <t>8602010025</t>
  </si>
  <si>
    <t>28861336</t>
  </si>
  <si>
    <t>ООО "Ресурсоснабжающая организация "ТеплоВодоснабжение и Канализация"</t>
  </si>
  <si>
    <t>8610023363</t>
  </si>
  <si>
    <t>26845821</t>
  </si>
  <si>
    <t>ООО "Талинское Благоустройство"</t>
  </si>
  <si>
    <t>8614007789</t>
  </si>
  <si>
    <t>31037879</t>
  </si>
  <si>
    <t>ООО «Газпром переработка»</t>
  </si>
  <si>
    <t>780201001</t>
  </si>
  <si>
    <t>26576132</t>
  </si>
  <si>
    <t>ООО «Газпром переработка» в зоне деятельности филиала Завод по стабилизации конденсата имени В.С. Черномырдина</t>
  </si>
  <si>
    <t>28544754</t>
  </si>
  <si>
    <t>ООО «САНТЕХРЕМСТРОЙ»</t>
  </si>
  <si>
    <t>8602249039</t>
  </si>
  <si>
    <t>30856963</t>
  </si>
  <si>
    <t>Общество с ограниченной ответственностью «ВостокСтрой-Капитал»</t>
  </si>
  <si>
    <t>8602019878</t>
  </si>
  <si>
    <t>31443598</t>
  </si>
  <si>
    <t>Общество с ограниченной ответственностью «Нижневартовские коммунальные системы»</t>
  </si>
  <si>
    <t>3661078386</t>
  </si>
  <si>
    <t>30812349</t>
  </si>
  <si>
    <t>Общество с ограниченной ответственностью «Обское управление жилищным фондом»</t>
  </si>
  <si>
    <t>8614008045</t>
  </si>
  <si>
    <t>30812293</t>
  </si>
  <si>
    <t>Общество с ограниченной ответственностью «Промышленные Информационные Технологии»</t>
  </si>
  <si>
    <t>7727669044</t>
  </si>
  <si>
    <t>860701001</t>
  </si>
  <si>
    <t>31268442</t>
  </si>
  <si>
    <t>Общество с ограниченной ответственностью «Сервисная Тепло Энергетическая Компания - Аква»</t>
  </si>
  <si>
    <t>8614009419</t>
  </si>
  <si>
    <t>31569539</t>
  </si>
  <si>
    <t>Общество с ограниченной ответственностью «СтройТоргСервис»</t>
  </si>
  <si>
    <t>8610005808</t>
  </si>
  <si>
    <t>31593738</t>
  </si>
  <si>
    <t>Общество с ограниченной ответственностью Специализированный застройщик «АЛЬБИК»</t>
  </si>
  <si>
    <t>8602082372</t>
  </si>
  <si>
    <t>26-07-2002 00:00:00</t>
  </si>
  <si>
    <t>28505788</t>
  </si>
  <si>
    <t>Общество с ограниченной ответственностью Управление механизации и транспорта «Спецавтотранссервис»</t>
  </si>
  <si>
    <t>8602136282</t>
  </si>
  <si>
    <t>26-05-2025 00:00:00</t>
  </si>
  <si>
    <t>30479646</t>
  </si>
  <si>
    <t>Открытое акционерное общество «Варьеганнефть»</t>
  </si>
  <si>
    <t>27051140</t>
  </si>
  <si>
    <t>ПАО "ОГК-2"</t>
  </si>
  <si>
    <t>781701001</t>
  </si>
  <si>
    <t>09-03-2005 00:00:00</t>
  </si>
  <si>
    <t>28145914</t>
  </si>
  <si>
    <t>Публичное акционерное общество «Славнефть-Мегионнефтегаз»</t>
  </si>
  <si>
    <t>8605003932</t>
  </si>
  <si>
    <t>26423543</t>
  </si>
  <si>
    <t>Сервисный центр теплоснабжения Лангепасско-Покачевского региона Управления теплоснабжения ООО "ЛУКОЙЛ-Западная Сибирь"</t>
  </si>
  <si>
    <t>862132001</t>
  </si>
  <si>
    <t>27-08-1998 00:00:00</t>
  </si>
  <si>
    <t>26423611</t>
  </si>
  <si>
    <t>Унитарное предприятие "Горводоканал" муниципального образования Ханты- Мансийского автономного округа- Югры городской округ город Радужный</t>
  </si>
  <si>
    <t>8609014156</t>
  </si>
  <si>
    <t>28544788</t>
  </si>
  <si>
    <t>АО «Сургутское судоремонтное предприятие»</t>
  </si>
  <si>
    <t>8602066980</t>
  </si>
  <si>
    <t>28812415</t>
  </si>
  <si>
    <t>Общество с ограниченной ответственностью "Лидер"</t>
  </si>
  <si>
    <t>8614007845</t>
  </si>
  <si>
    <t>30925645</t>
  </si>
  <si>
    <t>Общество с ограниченной ответственностью «Экосистема»</t>
  </si>
  <si>
    <t>8621006786</t>
  </si>
  <si>
    <t>31697781</t>
  </si>
  <si>
    <t>АО «Региональные электрические сети – Сервис»</t>
  </si>
  <si>
    <t>8612012208</t>
  </si>
  <si>
    <t>25-07-2005 00:00:00</t>
  </si>
  <si>
    <t>26423729</t>
  </si>
  <si>
    <t>Акционерное общество "Полигон-ЛТД"</t>
  </si>
  <si>
    <t>8617018429</t>
  </si>
  <si>
    <t>28-03-2003 00:00:00</t>
  </si>
  <si>
    <t>31161115</t>
  </si>
  <si>
    <t>Акционерное общество "Югра-Экология"</t>
  </si>
  <si>
    <t>8601065381</t>
  </si>
  <si>
    <t>26423731</t>
  </si>
  <si>
    <t>Муниципальное дорожно-эксплуатационное предприятие муниципального образования город Ханты-Мансийск</t>
  </si>
  <si>
    <t>8601000426</t>
  </si>
  <si>
    <t>28951133</t>
  </si>
  <si>
    <t>Муниципальное предприятие города Нягани «Чистый город»</t>
  </si>
  <si>
    <t>8610028629</t>
  </si>
  <si>
    <t>22-07-2014 00:00:00</t>
  </si>
  <si>
    <t>26423757</t>
  </si>
  <si>
    <t>Муниципальное унитарное предприятие "Сургутрайторф" муниципального образования Сургутский район</t>
  </si>
  <si>
    <t>8617020072</t>
  </si>
  <si>
    <t>27995680</t>
  </si>
  <si>
    <t>ООО "АКЦЕНТ"</t>
  </si>
  <si>
    <t>8616010917</t>
  </si>
  <si>
    <t>26423741</t>
  </si>
  <si>
    <t>ООО "Жилищно-Коммунальное Автотранспортное Предприятие"</t>
  </si>
  <si>
    <t>8605018671</t>
  </si>
  <si>
    <t>28062969</t>
  </si>
  <si>
    <t>ООО "Сервис плюс"</t>
  </si>
  <si>
    <t>7207022148</t>
  </si>
  <si>
    <t>720701001</t>
  </si>
  <si>
    <t>26423759</t>
  </si>
  <si>
    <t>ООО "Спецкоммунсервис"</t>
  </si>
  <si>
    <t>8604028437</t>
  </si>
  <si>
    <t>21-09-2002 00:00:00</t>
  </si>
  <si>
    <t>30-05-2025 00:00:00</t>
  </si>
  <si>
    <t>26812499</t>
  </si>
  <si>
    <t>ООО "ЭкоТех"</t>
  </si>
  <si>
    <t>8606014221</t>
  </si>
  <si>
    <t>26455436</t>
  </si>
  <si>
    <t>ООО "Югратрансавто"</t>
  </si>
  <si>
    <t>8610017916</t>
  </si>
  <si>
    <t>20-12-2005 00:00:00</t>
  </si>
  <si>
    <t>31695535</t>
  </si>
  <si>
    <t>ООО «АвтоСпецТехника»</t>
  </si>
  <si>
    <t>8610017930</t>
  </si>
  <si>
    <t>31773879</t>
  </si>
  <si>
    <t>ООО «ВЕРТИКАЛЬ»</t>
  </si>
  <si>
    <t>9721132218</t>
  </si>
  <si>
    <t>04-06-2021 00:00:00</t>
  </si>
  <si>
    <t>31695810</t>
  </si>
  <si>
    <t>ООО «КомТрансАвто»</t>
  </si>
  <si>
    <t>8602181662</t>
  </si>
  <si>
    <t>19-05-2011 00:00:00</t>
  </si>
  <si>
    <t>31526490</t>
  </si>
  <si>
    <t>ООО «Комплекс переработки отходов «Югра Центр»</t>
  </si>
  <si>
    <t>9717091664</t>
  </si>
  <si>
    <t>31526498</t>
  </si>
  <si>
    <t>ООО «Комплекс переработки отходов «Югра»</t>
  </si>
  <si>
    <t>9717089619</t>
  </si>
  <si>
    <t>31506929</t>
  </si>
  <si>
    <t>ООО «МонтажСтройСервис»</t>
  </si>
  <si>
    <t>8601049319</t>
  </si>
  <si>
    <t>31824757</t>
  </si>
  <si>
    <t>ООО «Мультисервис»</t>
  </si>
  <si>
    <t>8609019588</t>
  </si>
  <si>
    <t>17-07-2017 00:00:00</t>
  </si>
  <si>
    <t>31526470</t>
  </si>
  <si>
    <t>ООО «Нижневартовское экологическое объединение»</t>
  </si>
  <si>
    <t>8603232951</t>
  </si>
  <si>
    <t>31697786</t>
  </si>
  <si>
    <t>ООО «ПТК»</t>
  </si>
  <si>
    <t>8602208138</t>
  </si>
  <si>
    <t>31-10-2013 00:00:00</t>
  </si>
  <si>
    <t>27967154</t>
  </si>
  <si>
    <t>ООО «Пыть-ЯхАвтоСервисЦентр»</t>
  </si>
  <si>
    <t>8612010360</t>
  </si>
  <si>
    <t>14-10-2002 00:00:00</t>
  </si>
  <si>
    <t>31728762</t>
  </si>
  <si>
    <t>ООО «РУБИКОН»</t>
  </si>
  <si>
    <t>7720850565</t>
  </si>
  <si>
    <t>772001001</t>
  </si>
  <si>
    <t>31774361</t>
  </si>
  <si>
    <t>ООО «Сургутское экологическое объединение»</t>
  </si>
  <si>
    <t>8602292323</t>
  </si>
  <si>
    <t>06-06-2019 00:00:00</t>
  </si>
  <si>
    <t>31461564</t>
  </si>
  <si>
    <t>Общество с ограниченной ответственностью «Баркас +»</t>
  </si>
  <si>
    <t>6674099685</t>
  </si>
  <si>
    <t>860345001</t>
  </si>
  <si>
    <t>01-01-2021 00:00:00</t>
  </si>
  <si>
    <t>31728768</t>
  </si>
  <si>
    <t>Общество с ограниченной ответственностью «ВЕРТИКАЛЬ»</t>
  </si>
  <si>
    <t>772101001</t>
  </si>
  <si>
    <t>31454882</t>
  </si>
  <si>
    <t>Общество с ограниченной ответственностью «Гранит»</t>
  </si>
  <si>
    <t>8603162140</t>
  </si>
  <si>
    <t>25-02-2009 00:00:00</t>
  </si>
  <si>
    <t>31695540</t>
  </si>
  <si>
    <t>Общество с ограниченной ответственностью «Сибирская экологическая компания»</t>
  </si>
  <si>
    <t>8617028177</t>
  </si>
  <si>
    <t>15-07-2009 00:00:00</t>
  </si>
  <si>
    <t>31527858</t>
  </si>
  <si>
    <t>Общество с ограниченной ответственностью «Ситиматик-Югра»</t>
  </si>
  <si>
    <t>8601064050</t>
  </si>
  <si>
    <t>31772685</t>
  </si>
  <si>
    <t>31-01-2017 00:00:00</t>
  </si>
  <si>
    <t>31311350</t>
  </si>
  <si>
    <t>Общество с ограниченной ответственностью «Спектр»</t>
  </si>
  <si>
    <t>0275905660</t>
  </si>
  <si>
    <t>31526456</t>
  </si>
  <si>
    <t>Общество с ограниченной ответственностью «Сургутское экологическое объединение»</t>
  </si>
  <si>
    <t>31906741</t>
  </si>
  <si>
    <t>Общество с ограниченной ответственностью «Управляющая компания «Кондинский»</t>
  </si>
  <si>
    <t>8616013019</t>
  </si>
  <si>
    <t>30-12-2019 00:00:00</t>
  </si>
  <si>
    <t>31772047</t>
  </si>
  <si>
    <t>Общество с ограниченной ответственностью «ХМАО-СЕРВИССНАБЖЕНИЕ»</t>
  </si>
  <si>
    <t>8601042521</t>
  </si>
  <si>
    <t>16-11-2010 00:00:00</t>
  </si>
  <si>
    <t>31362746</t>
  </si>
  <si>
    <t>Общество с ограниченной ответственностью «ЭКО Ресурс»</t>
  </si>
  <si>
    <t>8615002014</t>
  </si>
  <si>
    <t>09-12-2015 00:00:00</t>
  </si>
  <si>
    <t>31475710</t>
  </si>
  <si>
    <t>Общество с ограниченной ответственностью «ЭКО Сервис»</t>
  </si>
  <si>
    <t>8622021177</t>
  </si>
  <si>
    <t>28497505</t>
  </si>
  <si>
    <t>Общество с ограниченной ответственностью «Эколайт»</t>
  </si>
  <si>
    <t>8621003143</t>
  </si>
  <si>
    <t>NSRF</t>
  </si>
  <si>
    <t>MR_NAME</t>
  </si>
  <si>
    <t>OKTMO_MR_NAME</t>
  </si>
  <si>
    <t>MO_NAME</t>
  </si>
  <si>
    <t>OKTMO_NAME</t>
  </si>
  <si>
    <t>TYPE</t>
  </si>
  <si>
    <t>MR_ID</t>
  </si>
  <si>
    <t>Белоярский муниципальный район</t>
  </si>
  <si>
    <t>71811000</t>
  </si>
  <si>
    <t>Белоярский</t>
  </si>
  <si>
    <t>71811151</t>
  </si>
  <si>
    <t>городское поселение, в состав которого входит поселок</t>
  </si>
  <si>
    <t>муниципальный район</t>
  </si>
  <si>
    <t>Верхнеказымский</t>
  </si>
  <si>
    <t>71811406</t>
  </si>
  <si>
    <t>сельское поселение</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</si>
  <si>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</si>
  <si>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</si>
  <si>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</si>
  <si>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</si>
  <si>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</si>
  <si>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</si>
  <si>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</si>
  <si>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</si>
  <si>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</si>
  <si>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</si>
  <si>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</si>
  <si>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</si>
  <si>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</si>
  <si>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</si>
  <si>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</si>
  <si>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</si>
  <si>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</si>
  <si>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</si>
  <si>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</si>
  <si>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</si>
  <si>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</si>
  <si>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</si>
  <si>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</si>
  <si>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</si>
  <si>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</si>
  <si>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</si>
  <si>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городской округ</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</si>
  <si>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</si>
  <si>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</si>
  <si>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</si>
  <si>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</si>
  <si>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</si>
  <si>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</si>
  <si>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</si>
  <si>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</si>
  <si>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</si>
  <si>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</si>
  <si>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</si>
  <si>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</si>
  <si>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</si>
  <si>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</si>
  <si>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</si>
  <si>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</si>
  <si>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</si>
  <si>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</si>
  <si>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</si>
  <si>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</si>
  <si>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</si>
  <si>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</si>
  <si>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</si>
  <si>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</si>
  <si>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</si>
  <si>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</si>
  <si>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</si>
  <si>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</si>
  <si>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</si>
  <si>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</si>
  <si>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</si>
  <si>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</si>
  <si>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</si>
  <si>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</si>
  <si>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</si>
  <si>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</si>
  <si>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</si>
  <si>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</si>
  <si>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</si>
  <si>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</si>
  <si>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</si>
  <si>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</si>
  <si>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</si>
  <si>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</si>
  <si>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</si>
  <si>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</si>
  <si>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</si>
  <si>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</si>
  <si>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</si>
  <si>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</si>
  <si>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</si>
  <si>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</si>
  <si>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</si>
  <si>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</si>
  <si>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</si>
  <si>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</si>
  <si>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</si>
  <si>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</si>
  <si>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</si>
  <si>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</si>
  <si>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</si>
  <si>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</si>
  <si>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</si>
  <si>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</si>
  <si>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</si>
  <si>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</si>
  <si>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</si>
  <si>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</si>
  <si>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</si>
  <si>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</si>
  <si>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</si>
  <si>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</si>
  <si>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</si>
  <si>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</si>
  <si>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</si>
  <si>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</si>
  <si>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</si>
  <si>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</si>
  <si>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</si>
  <si>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</si>
  <si>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</si>
  <si>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</si>
  <si>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</si>
  <si>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</si>
  <si>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</si>
  <si>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</si>
  <si>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</si>
  <si>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</si>
  <si>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60</t>
  </si>
  <si>
    <t>Унъюган</t>
  </si>
  <si>
    <t>71821404</t>
  </si>
  <si>
    <t>61</t>
  </si>
  <si>
    <t>Шеркалы</t>
  </si>
  <si>
    <t>71821436</t>
  </si>
  <si>
    <t>62</t>
  </si>
  <si>
    <t>Покачи</t>
  </si>
  <si>
    <t>71884000</t>
  </si>
  <si>
    <t>63</t>
  </si>
  <si>
    <t>Пыть-Ях</t>
  </si>
  <si>
    <t>71885000</t>
  </si>
  <si>
    <t>64</t>
  </si>
  <si>
    <t>Радужный</t>
  </si>
  <si>
    <t>71877000</t>
  </si>
  <si>
    <t>65</t>
  </si>
  <si>
    <t>Советский муниципальный район</t>
  </si>
  <si>
    <t>71824000</t>
  </si>
  <si>
    <t>Агириш</t>
  </si>
  <si>
    <t>71824152</t>
  </si>
  <si>
    <t>Алябьевский</t>
  </si>
  <si>
    <t>71824402</t>
  </si>
  <si>
    <t>67</t>
  </si>
  <si>
    <t>Зеленоборск</t>
  </si>
  <si>
    <t>71824153</t>
  </si>
  <si>
    <t>Коммунистический</t>
  </si>
  <si>
    <t>71824155</t>
  </si>
  <si>
    <t>69</t>
  </si>
  <si>
    <t>Малиновский</t>
  </si>
  <si>
    <t>71824158</t>
  </si>
  <si>
    <t>70</t>
  </si>
  <si>
    <t>Пионерский</t>
  </si>
  <si>
    <t>71824157</t>
  </si>
  <si>
    <t>71</t>
  </si>
  <si>
    <t>Советский</t>
  </si>
  <si>
    <t>71824104</t>
  </si>
  <si>
    <t>городское поселение, в состав которого входит город</t>
  </si>
  <si>
    <t>72</t>
  </si>
  <si>
    <t>73</t>
  </si>
  <si>
    <t>Таежный</t>
  </si>
  <si>
    <t>71824159</t>
  </si>
  <si>
    <t>74</t>
  </si>
  <si>
    <t>Сургутский муниципальный район</t>
  </si>
  <si>
    <t>71826000</t>
  </si>
  <si>
    <t>Барсово</t>
  </si>
  <si>
    <t>71826153</t>
  </si>
  <si>
    <t>76</t>
  </si>
  <si>
    <t>Белый Яр</t>
  </si>
  <si>
    <t>71826155</t>
  </si>
  <si>
    <t>77</t>
  </si>
  <si>
    <t>Локосово</t>
  </si>
  <si>
    <t>71826416</t>
  </si>
  <si>
    <t>78</t>
  </si>
  <si>
    <t>Лямина</t>
  </si>
  <si>
    <t>71826420</t>
  </si>
  <si>
    <t>79</t>
  </si>
  <si>
    <t>Лянтор</t>
  </si>
  <si>
    <t>71826105</t>
  </si>
  <si>
    <t>80</t>
  </si>
  <si>
    <t>Нижнесортымский</t>
  </si>
  <si>
    <t>71826423</t>
  </si>
  <si>
    <t>81</t>
  </si>
  <si>
    <t>Русскинская</t>
  </si>
  <si>
    <t>71826430</t>
  </si>
  <si>
    <t>82</t>
  </si>
  <si>
    <t>Солнечный</t>
  </si>
  <si>
    <t>71826407</t>
  </si>
  <si>
    <t>83</t>
  </si>
  <si>
    <t>84</t>
  </si>
  <si>
    <t>Сытомино</t>
  </si>
  <si>
    <t>71826436</t>
  </si>
  <si>
    <t>85</t>
  </si>
  <si>
    <t>Тундрино</t>
  </si>
  <si>
    <t>71826444</t>
  </si>
  <si>
    <t>86</t>
  </si>
  <si>
    <t>Угут</t>
  </si>
  <si>
    <t>71826448</t>
  </si>
  <si>
    <t>87</t>
  </si>
  <si>
    <t>Ульт-Ягун</t>
  </si>
  <si>
    <t>71826450</t>
  </si>
  <si>
    <t>88</t>
  </si>
  <si>
    <t>Федоровский</t>
  </si>
  <si>
    <t>71826165</t>
  </si>
  <si>
    <t>89</t>
  </si>
  <si>
    <t>Урай</t>
  </si>
  <si>
    <t>71878000</t>
  </si>
  <si>
    <t>90</t>
  </si>
  <si>
    <t>Ханты-Мансийск</t>
  </si>
  <si>
    <t>71871000</t>
  </si>
  <si>
    <t>91</t>
  </si>
  <si>
    <t>Ханты-Мансийский муниципальный район</t>
  </si>
  <si>
    <t>71829000</t>
  </si>
  <si>
    <t>Выкатной</t>
  </si>
  <si>
    <t>71829435</t>
  </si>
  <si>
    <t>92</t>
  </si>
  <si>
    <t>Горноправдинск</t>
  </si>
  <si>
    <t>71829406</t>
  </si>
  <si>
    <t>93</t>
  </si>
  <si>
    <t>Красноленинский</t>
  </si>
  <si>
    <t>71829443</t>
  </si>
  <si>
    <t>94</t>
  </si>
  <si>
    <t>Кышик</t>
  </si>
  <si>
    <t>71829417</t>
  </si>
  <si>
    <t>95</t>
  </si>
  <si>
    <t>Луговской</t>
  </si>
  <si>
    <t>71829416</t>
  </si>
  <si>
    <t>96</t>
  </si>
  <si>
    <t>Нялинское</t>
  </si>
  <si>
    <t>71829424</t>
  </si>
  <si>
    <t>97</t>
  </si>
  <si>
    <t>Селиярово</t>
  </si>
  <si>
    <t>71829428</t>
  </si>
  <si>
    <t>98</t>
  </si>
  <si>
    <t>Сибирский</t>
  </si>
  <si>
    <t>71829432</t>
  </si>
  <si>
    <t>99</t>
  </si>
  <si>
    <t>Согом</t>
  </si>
  <si>
    <t>71829434</t>
  </si>
  <si>
    <t>100</t>
  </si>
  <si>
    <t>101</t>
  </si>
  <si>
    <t>Цингалы</t>
  </si>
  <si>
    <t>71829448</t>
  </si>
  <si>
    <t>102</t>
  </si>
  <si>
    <t>Шапша</t>
  </si>
  <si>
    <t>71829412</t>
  </si>
  <si>
    <t>103</t>
  </si>
  <si>
    <t>поселок Кедровый</t>
  </si>
  <si>
    <t>71829407</t>
  </si>
  <si>
    <t>104</t>
  </si>
  <si>
    <t>Югорск</t>
  </si>
  <si>
    <t>71887000</t>
  </si>
  <si>
    <t>105</t>
  </si>
  <si>
    <t>NUMBER_POINT</t>
  </si>
  <si>
    <t>INVP_NAME</t>
  </si>
  <si>
    <t>INVP_ID</t>
  </si>
  <si>
    <t>L_START_DATE</t>
  </si>
  <si>
    <t>L_END_DATE</t>
  </si>
  <si>
    <t>L_DECISION_NAME</t>
  </si>
  <si>
    <t>L_DECISION_TYPE</t>
  </si>
  <si>
    <t>L_DECISION_NMBR</t>
  </si>
  <si>
    <t>L_DECISION_DATE</t>
  </si>
  <si>
    <t>Инвестиционная программа № 10-ип от 24.09.2025 МПП ЖКХ МО Г. ЛАБЫТНАНГИ "ЯМАЛ" в сфере водоснабжения и водоотведения в отношении системы водоснабжения и водоотведения на 2026-2029 годы</t>
  </si>
  <si>
    <t>01.01.2026</t>
  </si>
  <si>
    <t>31.12.2029</t>
  </si>
  <si>
    <t>Инвестиционная программа № 10-ип от 24.09.2025 МПП ЖКХ МО Г. ЛАБЫТНАНГИ "ЯМАЛ" в сфере водоснабжения и водоотведения в отношении системы коммунальной инфраструктуры, на территории городского округа Лабытнанги на 2026-2029 годы</t>
  </si>
  <si>
    <t>7070586511</t>
  </si>
  <si>
    <t>приказ</t>
  </si>
  <si>
    <t>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</si>
  <si>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Инвестиционная программа № 46-Пр-121 от 13.10.2025 СГМУП "ГВК" в сфере холодного водоснабжения по развитию централизованной системы холодного водоснабжения, на территории городского округа Сургут на 2026-2028 годы</t>
  </si>
  <si>
    <t>8846834686</t>
  </si>
  <si>
    <t>31.12.2028</t>
  </si>
  <si>
    <t>Департамент строительства и жилищно-коммунального комплекса и Энергетики Ханты-Мансийского автономного округа – Югры</t>
  </si>
  <si>
    <t>42-ПР-121</t>
  </si>
  <si>
    <t>13.10.2025</t>
  </si>
  <si>
    <t>Инвестиционная программа № 46-Пр-150 от 05.12.2025 МУП "СТВК" в сфере водоснабжения и водоотведения по развитию систем водоснабжения и водоотведения, на территории муниципального района Советский на 2026-2028 годы</t>
  </si>
  <si>
    <t>Инвестиционная программа от 11.12.2025 МУП "БКС" в сфере холодного водоснабжения по развитию централизованной системы холодного водоснабжения, на территории городского поселения Белоярский, Белоярский муниципальный район на 2026-2028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</si>
  <si>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городского округа Ишим на 2026-2040 годы</t>
  </si>
  <si>
    <t>31.12.2040</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</si>
  <si>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городского округа Ялуторовск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</si>
  <si>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Абатский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</si>
  <si>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Аромашевский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</si>
  <si>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Бердюжский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</si>
  <si>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Викуловский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</si>
  <si>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Голышмановский на 2026-2039 годы</t>
  </si>
  <si>
    <t>01.12.2026</t>
  </si>
  <si>
    <t>31.12.2039</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</si>
  <si>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Голышмановский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</si>
  <si>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Заводоуковский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</si>
  <si>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Ишимский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</si>
  <si>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Нижнетавдинский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</si>
  <si>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Омутинский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</si>
  <si>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Сорокинский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</si>
  <si>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Ялуторовский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</si>
  <si>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Ярковский на 2026-2040 годы</t>
  </si>
  <si>
    <t>Инвестиционная программа от 18.12.2025 ООО "ТЮМЕНЬ ВОДОКАНАЛ" в сфере водоснабжения и водоотведения по развитию систем холодного водоснабжения и водоотведения, на территории муниципального округа Абатский на 2026-2040 годы</t>
  </si>
  <si>
    <t>Инвестиционная программа от 18.12.2025 ООО "ТЮМЕНЬ ВОДОКАНАЛ" в сфере водоснабжения и водоотведения по развитию систем холодного водоснабжения и водоотведения, на территории муниципального округа Армизонский на 2026-2040 годы</t>
  </si>
  <si>
    <t>Инвестиционная программа от 18.12.2025 ООО "ТЮМЕНЬ ВОДОКАНАЛ" в сфере водоснабжения по развитию систем водоснабжения, на территории муниципального округа Упоровский на 2026-2040 годы</t>
  </si>
  <si>
    <t>Инвестиционная программа от 18.12.2025 ООО "ТЮМЕНЬ ВОДОКАНАЛ" в сфере холодного водоснабжения по развитию систем водоснабжения, на территории муниципального округа Тюменский на 2026-2040 годы</t>
  </si>
  <si>
    <t>Инвестиционная программа от 18.12.2025 ООО "ТЮМЕНЬ ВОДОКАНАЛ" в сфере холодного водоснабжения по развитию систем водоснабжения, на территории муниципального округа Ялуторовский на 2026-2040 годы</t>
  </si>
  <si>
    <t>Инвестиционная программа от 30.10.2025 АО "СУЭНКО" в сфере водоснабжения и водоотведения по развитию систем водоснабжения и водоотведения, на территории городского округа Тобольск на 2026-2030 годы</t>
  </si>
  <si>
    <t>31.12.2030</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</si>
  <si>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</si>
  <si>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</si>
  <si>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</si>
  <si>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</si>
  <si>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</si>
  <si>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</si>
  <si>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</si>
  <si>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</si>
  <si>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</si>
  <si>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</si>
  <si>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</si>
  <si>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</si>
  <si>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</si>
  <si>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</si>
  <si>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</si>
  <si>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</si>
  <si>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</si>
  <si>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</si>
  <si>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</si>
  <si>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</si>
  <si>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</si>
  <si>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</si>
  <si>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</si>
  <si>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</si>
  <si>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</si>
  <si>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</si>
  <si>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</si>
  <si>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</si>
  <si>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</si>
  <si>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</si>
  <si>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</si>
  <si>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14 | Муниципальная собственность</t>
  </si>
  <si>
    <t>хозяйственное ведение</t>
  </si>
  <si>
    <t>эксплуатируется</t>
  </si>
  <si>
    <t>свидетельство</t>
  </si>
  <si>
    <t>86-АБ 383662</t>
  </si>
  <si>
    <t>15.05.2012</t>
  </si>
  <si>
    <t>42.1212</t>
  </si>
  <si>
    <t>42.14</t>
  </si>
  <si>
    <t>39.0522</t>
  </si>
  <si>
    <t>86-АБ 062588</t>
  </si>
  <si>
    <t>25.06.2010</t>
  </si>
  <si>
    <t>1100</t>
  </si>
  <si>
    <t>702.02</t>
  </si>
  <si>
    <t>702.35</t>
  </si>
  <si>
    <t>650.87</t>
  </si>
  <si>
    <t>650.89</t>
  </si>
  <si>
    <t>Сети хоз.питьевого водопровода от ВК-15 до промплощадки (20006)</t>
  </si>
  <si>
    <t>сеть</t>
  </si>
  <si>
    <t>86-АБ 830977</t>
  </si>
  <si>
    <t>19.06.2014</t>
  </si>
  <si>
    <t>104.4</t>
  </si>
  <si>
    <t>61.7734</t>
  </si>
  <si>
    <t>61.77348</t>
  </si>
  <si>
    <t>Сеть водоснабжения (31463)</t>
  </si>
  <si>
    <t>86:10:0101000:4330-86/138/2020-16</t>
  </si>
  <si>
    <t>13.05.2020</t>
  </si>
  <si>
    <t>29.52</t>
  </si>
  <si>
    <t>17.4669</t>
  </si>
  <si>
    <t>17.466984</t>
  </si>
  <si>
    <t>86-АБ 161040</t>
  </si>
  <si>
    <t>24.11.2010</t>
  </si>
  <si>
    <t>113</t>
  </si>
  <si>
    <t>72.1166</t>
  </si>
  <si>
    <t>72.1505</t>
  </si>
  <si>
    <t>66.8621</t>
  </si>
  <si>
    <t>72 НК 596432</t>
  </si>
  <si>
    <t>23.03.2007</t>
  </si>
  <si>
    <t>1822.08</t>
  </si>
  <si>
    <t>1162.8514</t>
  </si>
  <si>
    <t>1820</t>
  </si>
  <si>
    <t>1162.07</t>
  </si>
  <si>
    <t>1077.134</t>
  </si>
  <si>
    <t>1163.201</t>
  </si>
  <si>
    <t>1162.228</t>
  </si>
  <si>
    <t>1686.08</t>
  </si>
  <si>
    <t>997.893536</t>
  </si>
  <si>
    <t>72 НК 390258</t>
  </si>
  <si>
    <t>16.08.2006</t>
  </si>
  <si>
    <t>987</t>
  </si>
  <si>
    <t>629.9034</t>
  </si>
  <si>
    <t>630.1995</t>
  </si>
  <si>
    <t>584.0079</t>
  </si>
  <si>
    <t>86-АБ 443287</t>
  </si>
  <si>
    <t>19.08.2012</t>
  </si>
  <si>
    <t>54.24</t>
  </si>
  <si>
    <t>54.27</t>
  </si>
  <si>
    <t>50.2945</t>
  </si>
  <si>
    <t>72 НК 198562</t>
  </si>
  <si>
    <t>20.06.2006</t>
  </si>
  <si>
    <t>879</t>
  </si>
  <si>
    <t>560.9778</t>
  </si>
  <si>
    <t>561.2415</t>
  </si>
  <si>
    <t>520.1043</t>
  </si>
  <si>
    <t>TER_NAME</t>
  </si>
  <si>
    <t>Территория 1</t>
  </si>
  <si>
    <t>ID_TARIFF_NAME</t>
  </si>
  <si>
    <t>TARIFF_NAME</t>
  </si>
  <si>
    <t>VED_NAME</t>
  </si>
  <si>
    <t>4189672</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</si>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</sst>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96">
    <xf numFmtId="49" fontId="0" fillId="0" borderId="0" xfId="0">
      <alignment vertical="top"/>
    </xf>
    <xf numFmtId="0" fontId="5" fillId="0" borderId="4" xfId="0" applyNumberFormat="1" applyFont="1" applyBorder="1" applyAlignment="1">
      <alignment horizontal="center" vertical="center" wrapTex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9" borderId="8" xfId="0" applyNumberFormat="1" applyFont="1" applyFill="1" applyBorder="1" applyAlignment="1" applyProtection="1">
      <alignment horizontal="right" vertical="center" wrapText="1"/>
      <protection locked="0"/>
    </xf>
    <xf numFmtId="169" fontId="5" fillId="0" borderId="3" xfId="0" applyNumberFormat="1" applyFont="1" applyBorder="1" applyAlignment="1">
      <alignment horizontal="right" vertical="center" wrapText="1"/>
    </xf>
    <xf numFmtId="49" fontId="0" fillId="0" borderId="8" xfId="0" applyBorder="1" applyAlignment="1">
      <alignment horizontal="left" vertical="center" wrapText="1"/>
    </xf>
    <xf numFmtId="49" fontId="0" fillId="29" borderId="0" xfId="0"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34" xfId="0" applyNumberFormat="1" applyFont="1" applyBorder="1" applyAlignment="1">
      <alignment horizontal="center" vertical="center"/>
    </xf>
    <xf numFmtId="170" fontId="0" fillId="9" borderId="4" xfId="0" applyNumberFormat="1" applyFill="1" applyBorder="1" applyAlignment="1" applyProtection="1">
      <alignment horizontal="left" vertical="center" wrapText="1"/>
      <protection locked="0"/>
    </xf>
    <xf numFmtId="170" fontId="0" fillId="9" borderId="5" xfId="0" applyNumberFormat="1" applyFill="1" applyBorder="1" applyAlignment="1" applyProtection="1">
      <alignment horizontal="left" vertical="center" wrapText="1"/>
      <protection locked="0"/>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170" fontId="0" fillId="12" borderId="2" xfId="0" applyNumberFormat="1" applyFill="1" applyBorder="1" applyAlignment="1" applyProtection="1">
      <alignment horizontal="left" vertical="center" wrapText="1" indent="1"/>
      <protection locked="0"/>
    </xf>
    <xf numFmtId="49" fontId="9" fillId="12" borderId="3" xfId="0" applyFont="1" applyFill="1" applyBorder="1" applyAlignment="1" applyProtection="1">
      <alignment horizontal="left" vertical="center" wrapText="1"/>
      <protection locked="0"/>
    </xf>
    <xf numFmtId="49" fontId="5" fillId="8" borderId="8" xfId="0" applyFont="1" applyFill="1" applyBorder="1" applyAlignment="1">
      <alignment horizontal="left" vertical="center" wrapText="1" inden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Font="1" applyBorder="1" applyAlignment="1">
      <alignment horizontal="center" vertical="center" wrapText="1"/>
    </xf>
    <xf numFmtId="49" fontId="17" fillId="0" borderId="62"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5" xfId="0" applyNumberFormat="1" applyFill="1" applyBorder="1" applyAlignment="1">
      <alignment horizontal="right" vertical="center" wrapText="1" indent="1"/>
    </xf>
    <xf numFmtId="0" fontId="0" fillId="8" borderId="4" xfId="0" applyNumberForma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0" borderId="0" xfId="0"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Font="1" applyFill="1" applyAlignment="1">
      <alignment horizontal="center" vertical="center" textRotation="90" wrapText="1"/>
    </xf>
    <xf numFmtId="49" fontId="5" fillId="0" borderId="0" xfId="0"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5" fillId="0" borderId="4" xfId="0" applyFont="1" applyBorder="1" applyAlignment="1">
      <alignment horizontal="center" vertical="center"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0" fillId="7" borderId="27" xfId="0" applyFill="1" applyBorder="1">
      <alignment vertical="top"/>
    </xf>
    <xf numFmtId="49" fontId="0" fillId="0" borderId="27" xfId="0" applyBorder="1">
      <alignment vertical="top"/>
    </xf>
    <xf numFmtId="49" fontId="5" fillId="7" borderId="66"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Font="1" applyFill="1" applyBorder="1" applyAlignment="1">
      <alignment horizontal="left" vertical="center" wrapText="1"/>
    </xf>
    <xf numFmtId="49" fontId="5" fillId="13"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8" borderId="3" xfId="0" applyFont="1" applyFill="1" applyBorder="1" applyAlignment="1">
      <alignment horizontal="left" vertical="center" wrapText="1"/>
    </xf>
    <xf numFmtId="1" fontId="5" fillId="9" borderId="3" xfId="0" applyNumberFormat="1" applyFont="1" applyFill="1" applyBorder="1" applyAlignment="1" applyProtection="1">
      <alignment horizontal="center" vertical="center" wrapText="1"/>
      <protection locked="0"/>
    </xf>
    <xf numFmtId="49" fontId="5" fillId="13" borderId="8" xfId="0" applyFont="1" applyFill="1" applyBorder="1" applyAlignment="1">
      <alignment vertical="center"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8" borderId="8" xfId="0" applyFont="1" applyFill="1" applyBorder="1" applyAlignment="1">
      <alignment vertical="center" wrapText="1"/>
    </xf>
    <xf numFmtId="49" fontId="5" fillId="8" borderId="27" xfId="0" applyFont="1" applyFill="1" applyBorder="1" applyAlignment="1">
      <alignment vertical="center" wrapText="1"/>
    </xf>
    <xf numFmtId="49" fontId="5" fillId="8" borderId="14" xfId="0" applyFont="1" applyFill="1" applyBorder="1" applyAlignment="1">
      <alignment vertical="center" wrapText="1"/>
    </xf>
    <xf numFmtId="49" fontId="0" fillId="12" borderId="27" xfId="0" applyFill="1" applyBorder="1" applyProtection="1">
      <alignment vertical="top"/>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1" fontId="5" fillId="12" borderId="54" xfId="0" applyNumberFormat="1" applyFont="1" applyFill="1" applyBorder="1" applyAlignment="1" applyProtection="1">
      <alignment vertical="center" wrapText="1"/>
      <protection locked="0"/>
    </xf>
    <xf numFmtId="1" fontId="5" fillId="9" borderId="8" xfId="0" applyNumberFormat="1" applyFont="1" applyFill="1" applyBorder="1" applyAlignment="1" applyProtection="1">
      <alignment vertical="center" wrapText="1"/>
      <protection locked="0"/>
    </xf>
    <xf numFmtId="1" fontId="5" fillId="9" borderId="27" xfId="0" applyNumberFormat="1" applyFont="1" applyFill="1" applyBorder="1" applyAlignment="1" applyProtection="1">
      <alignment vertical="center" wrapText="1"/>
      <protection locked="0"/>
    </xf>
    <xf numFmtId="1" fontId="5" fillId="9" borderId="14" xfId="0" applyNumberFormat="1" applyFont="1" applyFill="1" applyBorder="1" applyAlignment="1" applyProtection="1">
      <alignment vertical="center" wrapText="1"/>
      <protection locked="0"/>
    </xf>
    <xf numFmtId="0" fontId="26" fillId="0" borderId="3" xfId="0" applyNumberFormat="1" applyFont="1" applyBorder="1" applyAlignment="1">
      <alignment horizontal="center" vertical="center"/>
    </xf>
    <xf numFmtId="1" fontId="5" fillId="9" borderId="54" xfId="0" applyNumberFormat="1" applyFont="1" applyFill="1" applyBorder="1" applyAlignment="1" applyProtection="1">
      <alignment vertical="center" wrapText="1"/>
      <protection locked="0"/>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0" fontId="0" fillId="0" borderId="3" xfId="0" applyNumberFormat="1" applyBorder="1" applyAlignment="1">
      <alignment horizontal="center" vertical="center"/>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16</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https://portal.eias.ru/Portal/DownloadPage.aspx?type=12&amp;guid=c36b9db9-7c66-40d6-87f2-5fa0043cb4e1" TargetMode="External"/><Relationship Id="rId3" Type="http://schemas.openxmlformats.org/officeDocument/2006/relationships/hyperlink" Target="https://portal.eias.ru/Portal/DownloadPage.aspx?type=12&amp;guid=c36b9db9-7c66-40d6-87f2-5fa0043cb4e1" TargetMode="External"/><Relationship Id="rId7" Type="http://schemas.openxmlformats.org/officeDocument/2006/relationships/hyperlink" Target="https://portal.eias.ru/Portal/DownloadPage.aspx?type=12&amp;guid=c36b9db9-7c66-40d6-87f2-5fa0043cb4e1" TargetMode="External"/><Relationship Id="rId2" Type="http://schemas.openxmlformats.org/officeDocument/2006/relationships/hyperlink" Target="'&#1055;&#1086;&#1082;&#1072;&#1079;&#1072;&#1090;&#1077;&#1083;&#1080;%20&#1050;&#1053;&#1069;'!$K$62" TargetMode="External"/><Relationship Id="rId1" Type="http://schemas.openxmlformats.org/officeDocument/2006/relationships/hyperlink" Target="'&#1055;&#1086;&#1082;&#1072;&#1079;&#1072;&#1090;&#1077;&#1083;&#1080;%20&#1050;&#1053;&#1069;'!$I$62" TargetMode="External"/><Relationship Id="rId6" Type="http://schemas.openxmlformats.org/officeDocument/2006/relationships/hyperlink" Target="'&#1055;&#1086;&#1082;&#1072;&#1079;&#1072;&#1090;&#1077;&#1083;&#1080;%20&#1050;&#1053;&#1069;'!$K$63" TargetMode="External"/><Relationship Id="rId5" Type="http://schemas.openxmlformats.org/officeDocument/2006/relationships/hyperlink" Target="'&#1055;&#1086;&#1082;&#1072;&#1079;&#1072;&#1090;&#1077;&#1083;&#1080;%20&#1050;&#1053;&#1069;'!$I$63" TargetMode="External"/><Relationship Id="rId4" Type="http://schemas.openxmlformats.org/officeDocument/2006/relationships/hyperlink" Target="https://portal.eias.ru/Portal/DownloadPage.aspx?type=12&amp;guid=c36b9db9-7c66-40d6-87f2-5fa0043cb4e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36" t="s">
        <v>1</v>
      </c>
      <c r="C2" s="1136"/>
      <c r="D2" s="1136"/>
      <c r="E2" s="1136"/>
      <c r="F2" s="1136"/>
      <c r="G2" s="1136"/>
      <c r="H2" s="1136"/>
      <c r="I2" s="1136"/>
      <c r="J2" s="1136"/>
      <c r="K2" s="1136"/>
      <c r="L2" s="1136"/>
      <c r="M2" s="1136"/>
      <c r="N2" s="1136"/>
      <c r="O2" s="1136"/>
      <c r="P2" s="1136"/>
      <c r="Q2" s="914"/>
      <c r="R2" s="914"/>
      <c r="S2" s="914"/>
      <c r="T2" s="914"/>
      <c r="U2" s="914"/>
      <c r="V2" s="915"/>
      <c r="W2" s="914"/>
      <c r="X2" s="914"/>
      <c r="Y2" s="912"/>
      <c r="Z2" s="911"/>
      <c r="AA2" s="913"/>
      <c r="AB2" s="911"/>
    </row>
    <row r="3" spans="1:28" ht="15.75" customHeight="1">
      <c r="A3" s="911"/>
      <c r="B3" s="1137" t="s">
        <v>2</v>
      </c>
      <c r="C3" s="1137"/>
      <c r="D3" s="1137"/>
      <c r="E3" s="1137"/>
      <c r="F3" s="1137"/>
      <c r="G3" s="1137"/>
      <c r="H3" s="1137"/>
      <c r="I3" s="1137"/>
      <c r="J3" s="1137"/>
      <c r="K3" s="1137"/>
      <c r="L3" s="1137"/>
      <c r="M3" s="1137"/>
      <c r="N3" s="1137"/>
      <c r="O3" s="1137"/>
      <c r="P3" s="1137"/>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38"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39"/>
      <c r="D5" s="1139"/>
      <c r="E5" s="1139"/>
      <c r="F5" s="1139"/>
      <c r="G5" s="1139"/>
      <c r="H5" s="1139"/>
      <c r="I5" s="1139"/>
      <c r="J5" s="1139"/>
      <c r="K5" s="1139"/>
      <c r="L5" s="1139"/>
      <c r="M5" s="1139"/>
      <c r="N5" s="1139"/>
      <c r="O5" s="1139"/>
      <c r="P5" s="1139"/>
      <c r="Q5" s="1139"/>
      <c r="R5" s="1139"/>
      <c r="S5" s="1139"/>
      <c r="T5" s="1139"/>
      <c r="U5" s="1139"/>
      <c r="V5" s="1139"/>
      <c r="W5" s="1139"/>
      <c r="X5" s="1139"/>
      <c r="Y5" s="1140"/>
      <c r="Z5" s="917"/>
      <c r="AA5" s="913"/>
      <c r="AB5" s="917"/>
    </row>
    <row r="6" spans="1:28" ht="15" customHeight="1">
      <c r="A6" s="918"/>
      <c r="B6" s="1128" t="s">
        <v>3</v>
      </c>
      <c r="C6" s="1131"/>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28"/>
      <c r="C7" s="1131"/>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28"/>
      <c r="C8" s="1131"/>
      <c r="D8" s="924"/>
      <c r="E8" s="925" t="s">
        <v>4</v>
      </c>
      <c r="F8" s="1141" t="s">
        <v>5</v>
      </c>
      <c r="G8" s="1130"/>
      <c r="H8" s="1130"/>
      <c r="I8" s="1130"/>
      <c r="J8" s="1130"/>
      <c r="K8" s="1130"/>
      <c r="L8" s="1130"/>
      <c r="M8" s="1130"/>
      <c r="N8" s="924"/>
      <c r="O8" s="926" t="s">
        <v>4</v>
      </c>
      <c r="P8" s="1142" t="s">
        <v>6</v>
      </c>
      <c r="Q8" s="1143"/>
      <c r="R8" s="1143"/>
      <c r="S8" s="1143"/>
      <c r="T8" s="1143"/>
      <c r="U8" s="1143"/>
      <c r="V8" s="1143"/>
      <c r="W8" s="1143"/>
      <c r="X8" s="1143"/>
      <c r="Y8" s="920"/>
      <c r="Z8" s="921"/>
      <c r="AA8" s="922"/>
      <c r="AB8" s="922"/>
    </row>
    <row r="9" spans="1:28" ht="15" customHeight="1">
      <c r="A9" s="918"/>
      <c r="B9" s="1128"/>
      <c r="C9" s="1131"/>
      <c r="D9" s="924"/>
      <c r="E9" s="927" t="s">
        <v>4</v>
      </c>
      <c r="F9" s="1141" t="s">
        <v>7</v>
      </c>
      <c r="G9" s="1130"/>
      <c r="H9" s="1130"/>
      <c r="I9" s="1130"/>
      <c r="J9" s="1130"/>
      <c r="K9" s="1130"/>
      <c r="L9" s="1130"/>
      <c r="M9" s="1130"/>
      <c r="N9" s="924"/>
      <c r="O9" s="928" t="s">
        <v>4</v>
      </c>
      <c r="P9" s="1142" t="s">
        <v>8</v>
      </c>
      <c r="Q9" s="1143"/>
      <c r="R9" s="1143"/>
      <c r="S9" s="1143"/>
      <c r="T9" s="1143"/>
      <c r="U9" s="1143"/>
      <c r="V9" s="1143"/>
      <c r="W9" s="1143"/>
      <c r="X9" s="1143"/>
      <c r="Y9" s="920"/>
      <c r="Z9" s="921"/>
      <c r="AA9" s="922"/>
      <c r="AB9" s="922"/>
    </row>
    <row r="10" spans="1:28" ht="30" customHeight="1">
      <c r="A10" s="918"/>
      <c r="B10" s="1128"/>
      <c r="C10" s="1129"/>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126" t="s">
        <v>9</v>
      </c>
      <c r="C11" s="1127"/>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28"/>
      <c r="C12" s="1129"/>
      <c r="D12" s="932"/>
      <c r="E12" s="1130" t="s">
        <v>10</v>
      </c>
      <c r="F12" s="1130"/>
      <c r="G12" s="1130"/>
      <c r="H12" s="1130"/>
      <c r="I12" s="1130"/>
      <c r="J12" s="1130"/>
      <c r="K12" s="1130"/>
      <c r="L12" s="1130"/>
      <c r="M12" s="1130"/>
      <c r="N12" s="1130"/>
      <c r="O12" s="1130"/>
      <c r="P12" s="1130"/>
      <c r="Q12" s="1130"/>
      <c r="R12" s="1130"/>
      <c r="S12" s="1130"/>
      <c r="T12" s="1130"/>
      <c r="U12" s="1130"/>
      <c r="V12" s="1130"/>
      <c r="W12" s="1130"/>
      <c r="X12" s="1130"/>
      <c r="Y12" s="920"/>
      <c r="Z12" s="921"/>
      <c r="AA12" s="922"/>
      <c r="AB12" s="922"/>
    </row>
    <row r="13" spans="1:28" ht="15" customHeight="1">
      <c r="A13" s="918"/>
      <c r="B13" s="1126" t="s">
        <v>11</v>
      </c>
      <c r="C13" s="1127"/>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28"/>
      <c r="C14" s="1131"/>
      <c r="D14" s="924"/>
      <c r="E14" s="1134" t="s">
        <v>12</v>
      </c>
      <c r="F14" s="1134"/>
      <c r="G14" s="1134"/>
      <c r="H14" s="1134"/>
      <c r="I14" s="1134"/>
      <c r="J14" s="1134"/>
      <c r="K14" s="1134"/>
      <c r="L14" s="1134"/>
      <c r="M14" s="1134"/>
      <c r="N14" s="1134"/>
      <c r="O14" s="1134"/>
      <c r="P14" s="1134"/>
      <c r="Q14" s="1134"/>
      <c r="R14" s="1134"/>
      <c r="S14" s="1134"/>
      <c r="T14" s="1134"/>
      <c r="U14" s="1134"/>
      <c r="V14" s="1134"/>
      <c r="W14" s="1134"/>
      <c r="X14" s="1134"/>
      <c r="Y14" s="920"/>
      <c r="Z14" s="921"/>
      <c r="AA14" s="922"/>
      <c r="AB14" s="922"/>
    </row>
    <row r="15" spans="1:28" ht="16.5" customHeight="1">
      <c r="A15" s="918"/>
      <c r="B15" s="1132"/>
      <c r="C15" s="1133"/>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34"/>
      <c r="C16" s="1135"/>
      <c r="D16" s="1135"/>
      <c r="E16" s="1135"/>
      <c r="F16" s="1135"/>
      <c r="G16" s="1135"/>
      <c r="H16" s="1135"/>
      <c r="I16" s="1135"/>
      <c r="J16" s="1135"/>
      <c r="K16" s="1135"/>
      <c r="L16" s="1135"/>
      <c r="M16" s="1135"/>
      <c r="N16" s="1135"/>
      <c r="O16" s="1135"/>
      <c r="P16" s="1135"/>
      <c r="Q16" s="1135"/>
      <c r="R16" s="1135"/>
      <c r="S16" s="1135"/>
      <c r="T16" s="1135"/>
      <c r="U16" s="1135"/>
      <c r="V16" s="1135"/>
      <c r="W16" s="1135"/>
      <c r="X16" s="1135"/>
      <c r="Y16" s="1135"/>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52" t="s">
        <v>394</v>
      </c>
      <c r="F4" s="1152"/>
      <c r="G4" s="1153"/>
      <c r="H4" s="1153"/>
      <c r="I4" s="1154"/>
      <c r="J4" s="281"/>
      <c r="K4" s="253"/>
      <c r="L4" s="253"/>
      <c r="W4" s="11">
        <v>22</v>
      </c>
    </row>
    <row r="5" spans="1:23" s="11" customFormat="1" ht="18" customHeight="1">
      <c r="A5" s="8"/>
      <c r="D5" s="23"/>
      <c r="E5" s="1268" t="str">
        <f>IF(org=0,"Не определено",org)</f>
        <v>Сургутское городское муниципальное унитарное предприятие "Горводоканал"</v>
      </c>
      <c r="F5" s="1268"/>
      <c r="G5" s="1269"/>
      <c r="H5" s="1269"/>
      <c r="I5" s="1270"/>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53" t="s">
        <v>306</v>
      </c>
      <c r="F7" s="1253"/>
      <c r="G7" s="1254"/>
      <c r="H7" s="1254"/>
      <c r="I7" s="1254"/>
      <c r="J7" s="1254"/>
      <c r="K7" s="1254"/>
      <c r="L7" s="1222" t="s">
        <v>307</v>
      </c>
      <c r="W7" s="11">
        <v>14</v>
      </c>
    </row>
    <row r="8" spans="1:23" ht="48.2" customHeight="1">
      <c r="D8" s="23"/>
      <c r="E8" s="36" t="s">
        <v>88</v>
      </c>
      <c r="F8" s="36"/>
      <c r="G8" s="41" t="s">
        <v>86</v>
      </c>
      <c r="H8" s="41" t="s">
        <v>87</v>
      </c>
      <c r="I8" s="39" t="s">
        <v>85</v>
      </c>
      <c r="J8" s="39" t="s">
        <v>395</v>
      </c>
      <c r="K8" s="39" t="s">
        <v>396</v>
      </c>
      <c r="L8" s="1222"/>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66" t="s">
        <v>397</v>
      </c>
      <c r="W10" s="11">
        <v>0</v>
      </c>
    </row>
    <row r="11" spans="1:23" ht="15" hidden="1" customHeight="1">
      <c r="A11" s="1144"/>
      <c r="B11" s="34"/>
      <c r="C11" s="34"/>
      <c r="D11" s="501"/>
      <c r="E11" s="291"/>
      <c r="F11" s="291"/>
      <c r="G11" s="291"/>
      <c r="H11" s="291"/>
      <c r="I11" s="213"/>
      <c r="J11" s="292"/>
      <c r="K11" s="411"/>
      <c r="L11" s="1280"/>
      <c r="M11" s="68"/>
      <c r="N11" s="68"/>
      <c r="O11" s="68"/>
      <c r="P11" s="293"/>
      <c r="Q11" s="293"/>
      <c r="R11" s="294"/>
      <c r="S11" s="68"/>
      <c r="T11" s="68"/>
      <c r="U11" s="68"/>
      <c r="V11" s="68"/>
      <c r="W11" s="11">
        <v>0</v>
      </c>
    </row>
    <row r="12" spans="1:23" s="136" customFormat="1" ht="15" customHeight="1">
      <c r="A12" s="1144"/>
      <c r="B12" s="34"/>
      <c r="C12" s="34"/>
      <c r="D12" s="502"/>
      <c r="E12" s="36">
        <v>1</v>
      </c>
      <c r="F12" s="500">
        <v>23</v>
      </c>
      <c r="G12" s="499"/>
      <c r="H12" s="455"/>
      <c r="I12" s="453"/>
      <c r="J12" s="296" t="s">
        <v>62</v>
      </c>
      <c r="K12" s="117" t="s">
        <v>22</v>
      </c>
      <c r="L12" s="1280"/>
      <c r="M12" s="68"/>
      <c r="N12" s="68"/>
      <c r="O12" s="68"/>
      <c r="P12" s="293" t="s">
        <v>398</v>
      </c>
      <c r="Q12" s="293" t="s">
        <v>399</v>
      </c>
      <c r="R12" s="294" t="s">
        <v>400</v>
      </c>
      <c r="S12" s="68" t="s">
        <v>401</v>
      </c>
      <c r="T12" s="68"/>
      <c r="U12" s="68"/>
      <c r="V12" s="68"/>
      <c r="W12" s="136">
        <v>14</v>
      </c>
    </row>
    <row r="13" spans="1:23" ht="15.75" customHeight="1">
      <c r="A13" s="1144"/>
      <c r="D13" s="23"/>
      <c r="E13" s="155"/>
      <c r="F13" s="300"/>
      <c r="G13" s="52" t="s">
        <v>102</v>
      </c>
      <c r="H13" s="231"/>
      <c r="I13" s="231"/>
      <c r="J13" s="231"/>
      <c r="K13" s="230"/>
      <c r="L13" s="1267"/>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402</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404</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405</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406</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407</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408</v>
      </c>
      <c r="AO5" s="69"/>
      <c r="AP5" s="69" t="str">
        <f t="shared" si="0"/>
        <v xml:space="preserve">Источник тепловой энергии  </v>
      </c>
      <c r="AQ5" s="69"/>
      <c r="AR5" s="69"/>
      <c r="AS5" s="11">
        <v>0</v>
      </c>
    </row>
    <row r="6" spans="1:45" ht="47.25" hidden="1" customHeight="1">
      <c r="A6" s="769"/>
      <c r="B6" s="769"/>
      <c r="C6" s="769"/>
      <c r="D6" s="769"/>
      <c r="E6" s="1294"/>
      <c r="F6" s="1294"/>
      <c r="G6" s="1294"/>
      <c r="H6" s="1294"/>
      <c r="I6" s="1295" t="e">
        <f>S5&amp;".1"</f>
        <v>#N/A</v>
      </c>
      <c r="J6" s="769"/>
      <c r="K6" s="769"/>
      <c r="L6" s="770" t="s">
        <v>409</v>
      </c>
      <c r="M6" s="63"/>
      <c r="P6" s="1297">
        <v>1</v>
      </c>
      <c r="Q6" s="122"/>
      <c r="R6" s="208"/>
      <c r="S6" s="709" t="e">
        <f>$I6</f>
        <v>#N/A</v>
      </c>
      <c r="T6" s="164" t="s">
        <v>410</v>
      </c>
      <c r="U6" s="171"/>
      <c r="V6" s="1281"/>
      <c r="W6" s="1282"/>
      <c r="X6" s="1282"/>
      <c r="Y6" s="1282"/>
      <c r="Z6" s="1282"/>
      <c r="AA6" s="1282"/>
      <c r="AB6" s="1282"/>
      <c r="AC6" s="1283"/>
      <c r="AD6" s="1281"/>
      <c r="AE6" s="1282"/>
      <c r="AF6" s="1282"/>
      <c r="AG6" s="1282"/>
      <c r="AH6" s="1282"/>
      <c r="AI6" s="1282"/>
      <c r="AJ6" s="1282"/>
      <c r="AK6" s="1282"/>
      <c r="AL6" s="1283"/>
      <c r="AM6" s="729" t="s">
        <v>411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4"/>
      <c r="F7" s="1294"/>
      <c r="G7" s="1294"/>
      <c r="H7" s="1294"/>
      <c r="I7" s="1296"/>
      <c r="J7" s="1295" t="e">
        <f>I6&amp;".1"</f>
        <v>#N/A</v>
      </c>
      <c r="K7" s="769"/>
      <c r="L7" s="770" t="s">
        <v>412</v>
      </c>
      <c r="M7" s="63"/>
      <c r="N7" s="63"/>
      <c r="P7" s="1297"/>
      <c r="Q7" s="1297">
        <v>1</v>
      </c>
      <c r="R7" s="209"/>
      <c r="S7" s="709" t="e">
        <f>$J7</f>
        <v>#N/A</v>
      </c>
      <c r="T7" s="165" t="s">
        <v>413</v>
      </c>
      <c r="U7" s="171"/>
      <c r="V7" s="1281"/>
      <c r="W7" s="1282"/>
      <c r="X7" s="1282"/>
      <c r="Y7" s="1282"/>
      <c r="Z7" s="1282"/>
      <c r="AA7" s="1282"/>
      <c r="AB7" s="1282"/>
      <c r="AC7" s="1283"/>
      <c r="AD7" s="1281"/>
      <c r="AE7" s="1282"/>
      <c r="AF7" s="1282"/>
      <c r="AG7" s="1282"/>
      <c r="AH7" s="1282"/>
      <c r="AI7" s="1282"/>
      <c r="AJ7" s="1282"/>
      <c r="AK7" s="1282"/>
      <c r="AL7" s="1283"/>
      <c r="AM7" s="729" t="s">
        <v>414</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415</v>
      </c>
      <c r="M8" s="63"/>
      <c r="N8" s="63"/>
      <c r="O8" s="63"/>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416</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7" t="s">
        <v>417</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4"/>
      <c r="F11" s="1294"/>
      <c r="G11" s="1294"/>
      <c r="H11" s="1294"/>
      <c r="I11" s="1295"/>
      <c r="J11" s="769"/>
      <c r="K11" s="769"/>
      <c r="L11" s="770"/>
      <c r="M11" s="63"/>
      <c r="P11" s="1297"/>
      <c r="Q11" s="122"/>
      <c r="R11" s="208"/>
      <c r="S11" s="742"/>
      <c r="T11" s="166" t="s">
        <v>418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42"/>
      <c r="T12" s="211" t="s">
        <v>419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420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421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422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423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424</v>
      </c>
      <c r="P22" s="506"/>
      <c r="Q22" s="772"/>
      <c r="R22" s="772"/>
      <c r="S22" s="426"/>
      <c r="T22" s="63" t="s">
        <v>425</v>
      </c>
      <c r="AA22" s="82" t="s">
        <v>426</v>
      </c>
      <c r="AC22" s="82" t="s">
        <v>427</v>
      </c>
      <c r="AD22" s="63" t="s">
        <v>425</v>
      </c>
      <c r="AI22" s="82" t="s">
        <v>428</v>
      </c>
      <c r="AK22" s="82" t="s">
        <v>427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14</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306</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307</v>
      </c>
      <c r="AS38" s="11">
        <v>14</v>
      </c>
    </row>
    <row r="39" spans="1:45" ht="14.65" customHeight="1">
      <c r="Q39" s="28"/>
      <c r="R39" s="28"/>
      <c r="S39" s="1306" t="s">
        <v>88</v>
      </c>
      <c r="T39" s="1254" t="s">
        <v>430</v>
      </c>
      <c r="U39" s="172"/>
      <c r="V39" s="1307" t="s">
        <v>431</v>
      </c>
      <c r="W39" s="1308"/>
      <c r="X39" s="1308"/>
      <c r="Y39" s="1308"/>
      <c r="Z39" s="1308"/>
      <c r="AA39" s="1308"/>
      <c r="AB39" s="1309"/>
      <c r="AC39" s="1310" t="s">
        <v>432</v>
      </c>
      <c r="AD39" s="1307" t="s">
        <v>431</v>
      </c>
      <c r="AE39" s="1308"/>
      <c r="AF39" s="1308"/>
      <c r="AG39" s="1308"/>
      <c r="AH39" s="1308"/>
      <c r="AI39" s="1308"/>
      <c r="AJ39" s="1309"/>
      <c r="AK39" s="1310" t="s">
        <v>433</v>
      </c>
      <c r="AL39" s="1313" t="s">
        <v>434</v>
      </c>
      <c r="AM39" s="1159"/>
      <c r="AS39" s="11">
        <v>14</v>
      </c>
    </row>
    <row r="40" spans="1:45" ht="35.65" customHeight="1">
      <c r="Q40" s="28"/>
      <c r="R40" s="28"/>
      <c r="S40" s="1306"/>
      <c r="T40" s="1254"/>
      <c r="U40" s="607"/>
      <c r="V40" s="1224" t="s">
        <v>435</v>
      </c>
      <c r="W40" s="1302" t="s">
        <v>436</v>
      </c>
      <c r="X40" s="1123" t="s">
        <v>437</v>
      </c>
      <c r="Y40" s="1"/>
      <c r="Z40" s="1123" t="s">
        <v>438</v>
      </c>
      <c r="AA40" s="1146"/>
      <c r="AB40" s="1"/>
      <c r="AC40" s="1311"/>
      <c r="AD40" s="1224" t="s">
        <v>435</v>
      </c>
      <c r="AE40" s="1302" t="s">
        <v>436</v>
      </c>
      <c r="AF40" s="1123" t="s">
        <v>437</v>
      </c>
      <c r="AG40" s="1"/>
      <c r="AH40" s="1123" t="s">
        <v>438</v>
      </c>
      <c r="AI40" s="1146"/>
      <c r="AJ40" s="1"/>
      <c r="AK40" s="1311"/>
      <c r="AL40" s="1314"/>
      <c r="AM40" s="1159"/>
      <c r="AS40" s="11">
        <v>34</v>
      </c>
    </row>
    <row r="41" spans="1:45" ht="35.65" customHeight="1">
      <c r="A41" s="82"/>
      <c r="B41" s="82" t="s">
        <v>143</v>
      </c>
      <c r="C41" s="82" t="s">
        <v>144</v>
      </c>
      <c r="D41" s="82" t="s">
        <v>145</v>
      </c>
      <c r="E41" s="770" t="s">
        <v>439</v>
      </c>
      <c r="F41" s="770" t="s">
        <v>440</v>
      </c>
      <c r="G41" s="770" t="s">
        <v>441</v>
      </c>
      <c r="H41" s="770" t="s">
        <v>442</v>
      </c>
      <c r="I41" s="770" t="s">
        <v>443</v>
      </c>
      <c r="J41" s="770" t="s">
        <v>444</v>
      </c>
      <c r="K41" s="770" t="s">
        <v>445</v>
      </c>
      <c r="L41" s="770" t="s">
        <v>424</v>
      </c>
      <c r="Q41" s="28"/>
      <c r="R41" s="28"/>
      <c r="S41" s="1306"/>
      <c r="T41" s="1254"/>
      <c r="U41" s="173"/>
      <c r="V41" s="1279"/>
      <c r="W41" s="1303"/>
      <c r="X41" s="39" t="s">
        <v>446</v>
      </c>
      <c r="Y41" s="39" t="s">
        <v>447</v>
      </c>
      <c r="Z41" s="39" t="s">
        <v>448</v>
      </c>
      <c r="AA41" s="1259" t="s">
        <v>449</v>
      </c>
      <c r="AB41" s="1273"/>
      <c r="AC41" s="1312"/>
      <c r="AD41" s="1279"/>
      <c r="AE41" s="1303"/>
      <c r="AF41" s="39" t="s">
        <v>446</v>
      </c>
      <c r="AG41" s="39" t="s">
        <v>447</v>
      </c>
      <c r="AH41" s="39" t="s">
        <v>448</v>
      </c>
      <c r="AI41" s="1259" t="s">
        <v>449</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4" customHeight="1">
      <c r="A43" s="769" t="s">
        <v>164</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131</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164</v>
      </c>
      <c r="B44" s="769" t="s">
        <v>165</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403</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404</v>
      </c>
      <c r="AO44" s="69"/>
      <c r="AP44" s="69" t="str">
        <f t="shared" si="1"/>
        <v>Территория действия тарифа</v>
      </c>
      <c r="AQ44" s="69"/>
      <c r="AR44" s="69"/>
      <c r="AS44" s="11">
        <v>23</v>
      </c>
    </row>
    <row r="45" spans="1:45" ht="24" customHeight="1">
      <c r="A45" s="769" t="s">
        <v>164</v>
      </c>
      <c r="B45" s="769" t="s">
        <v>165</v>
      </c>
      <c r="C45" s="769" t="s">
        <v>166</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405</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406</v>
      </c>
      <c r="AO45" s="69"/>
      <c r="AP45" s="69" t="str">
        <f t="shared" si="1"/>
        <v xml:space="preserve">Наименование системы теплоснабжения </v>
      </c>
      <c r="AQ45" s="69"/>
      <c r="AR45" s="69"/>
      <c r="AS45" s="11">
        <v>23</v>
      </c>
    </row>
    <row r="46" spans="1:45" ht="24" customHeight="1">
      <c r="A46" s="769" t="s">
        <v>164</v>
      </c>
      <c r="B46" s="769" t="s">
        <v>165</v>
      </c>
      <c r="C46" s="769" t="s">
        <v>166</v>
      </c>
      <c r="D46" s="769" t="s">
        <v>167</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407</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408</v>
      </c>
      <c r="AO46" s="69"/>
      <c r="AP46" s="69" t="str">
        <f t="shared" si="1"/>
        <v xml:space="preserve">Источник тепловой энергии  </v>
      </c>
      <c r="AQ46" s="69"/>
      <c r="AR46" s="69"/>
      <c r="AS46" s="11">
        <v>23</v>
      </c>
    </row>
    <row r="47" spans="1:45" ht="49.5" customHeight="1">
      <c r="A47" s="769" t="s">
        <v>164</v>
      </c>
      <c r="B47" s="769" t="s">
        <v>165</v>
      </c>
      <c r="C47" s="769" t="s">
        <v>166</v>
      </c>
      <c r="D47" s="769" t="s">
        <v>167</v>
      </c>
      <c r="E47" s="1294"/>
      <c r="F47" s="1294"/>
      <c r="G47" s="1294"/>
      <c r="H47" s="1294"/>
      <c r="I47" s="1295" t="str">
        <f>S46&amp;".1"</f>
        <v>....1</v>
      </c>
      <c r="J47" s="769"/>
      <c r="K47" s="769"/>
      <c r="L47" s="770" t="s">
        <v>409</v>
      </c>
      <c r="P47" s="1297">
        <v>1</v>
      </c>
      <c r="Q47" s="122"/>
      <c r="R47" s="208"/>
      <c r="S47" s="709" t="str">
        <f>$I47</f>
        <v>....1</v>
      </c>
      <c r="T47" s="164" t="s">
        <v>410</v>
      </c>
      <c r="U47" s="171"/>
      <c r="V47" s="1281"/>
      <c r="W47" s="1282"/>
      <c r="X47" s="1282"/>
      <c r="Y47" s="1282"/>
      <c r="Z47" s="1282"/>
      <c r="AA47" s="1282"/>
      <c r="AB47" s="1282"/>
      <c r="AC47" s="1283"/>
      <c r="AD47" s="1281"/>
      <c r="AE47" s="1282"/>
      <c r="AF47" s="1282"/>
      <c r="AG47" s="1282"/>
      <c r="AH47" s="1282"/>
      <c r="AI47" s="1282"/>
      <c r="AJ47" s="1282"/>
      <c r="AK47" s="1282"/>
      <c r="AL47" s="1283"/>
      <c r="AM47" s="729" t="s">
        <v>411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164</v>
      </c>
      <c r="B48" s="769" t="s">
        <v>165</v>
      </c>
      <c r="C48" s="769" t="s">
        <v>166</v>
      </c>
      <c r="D48" s="769" t="s">
        <v>167</v>
      </c>
      <c r="E48" s="1294"/>
      <c r="F48" s="1294"/>
      <c r="G48" s="1294"/>
      <c r="H48" s="1294"/>
      <c r="I48" s="1296"/>
      <c r="J48" s="1295" t="str">
        <f>I47&amp;".1"</f>
        <v>....1.1</v>
      </c>
      <c r="K48" s="769"/>
      <c r="L48" s="770" t="s">
        <v>412</v>
      </c>
      <c r="P48" s="1297"/>
      <c r="Q48" s="1297">
        <v>1</v>
      </c>
      <c r="R48" s="209"/>
      <c r="S48" s="709" t="str">
        <f>$J48</f>
        <v>....1.1</v>
      </c>
      <c r="T48" s="165" t="s">
        <v>413</v>
      </c>
      <c r="U48" s="171"/>
      <c r="V48" s="1281"/>
      <c r="W48" s="1282"/>
      <c r="X48" s="1282"/>
      <c r="Y48" s="1282"/>
      <c r="Z48" s="1282"/>
      <c r="AA48" s="1282"/>
      <c r="AB48" s="1282"/>
      <c r="AC48" s="1283"/>
      <c r="AD48" s="1281"/>
      <c r="AE48" s="1282"/>
      <c r="AF48" s="1282"/>
      <c r="AG48" s="1282"/>
      <c r="AH48" s="1282"/>
      <c r="AI48" s="1282"/>
      <c r="AJ48" s="1282"/>
      <c r="AK48" s="1282"/>
      <c r="AL48" s="1283"/>
      <c r="AM48" s="729" t="s">
        <v>414</v>
      </c>
      <c r="AO48" s="69"/>
      <c r="AP48" s="69" t="str">
        <f t="shared" si="1"/>
        <v>Группа потребителей</v>
      </c>
      <c r="AQ48" s="69"/>
      <c r="AR48" s="69"/>
      <c r="AS48" s="11">
        <v>23</v>
      </c>
    </row>
    <row r="49" spans="1:45" ht="24" customHeight="1">
      <c r="A49" s="769" t="s">
        <v>164</v>
      </c>
      <c r="B49" s="769" t="s">
        <v>165</v>
      </c>
      <c r="C49" s="769" t="s">
        <v>166</v>
      </c>
      <c r="D49" s="769" t="s">
        <v>167</v>
      </c>
      <c r="E49" s="1294"/>
      <c r="F49" s="1294"/>
      <c r="G49" s="1294"/>
      <c r="H49" s="1294"/>
      <c r="I49" s="1296"/>
      <c r="J49" s="1296"/>
      <c r="K49" s="1295" t="str">
        <f>J48&amp;".1"</f>
        <v>....1.1.1</v>
      </c>
      <c r="L49" s="770" t="s">
        <v>415</v>
      </c>
      <c r="P49" s="1297"/>
      <c r="Q49" s="1297"/>
      <c r="R49" s="209">
        <v>1</v>
      </c>
      <c r="S49" s="709" t="str">
        <f>$K49</f>
        <v>....1.1.1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416</v>
      </c>
      <c r="AN49" s="68" t="e">
        <f ca="1">STRCHECKDATE(V50:AL50)</f>
        <v>#NAME?</v>
      </c>
      <c r="AO49" s="69"/>
      <c r="AP49" s="69" t="str">
        <f t="shared" si="1"/>
        <v/>
      </c>
      <c r="AQ49" s="69"/>
      <c r="AR49" s="69"/>
      <c r="AS49" s="11">
        <v>23</v>
      </c>
    </row>
    <row r="50" spans="1:45" ht="1.1499999999999999" customHeight="1">
      <c r="A50" s="769" t="s">
        <v>164</v>
      </c>
      <c r="B50" s="769" t="s">
        <v>165</v>
      </c>
      <c r="C50" s="769" t="s">
        <v>166</v>
      </c>
      <c r="D50" s="769" t="s">
        <v>167</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164</v>
      </c>
      <c r="B51" s="769" t="s">
        <v>165</v>
      </c>
      <c r="C51" s="769" t="s">
        <v>166</v>
      </c>
      <c r="D51" s="769" t="s">
        <v>167</v>
      </c>
      <c r="E51" s="1294"/>
      <c r="F51" s="1294"/>
      <c r="G51" s="1294"/>
      <c r="H51" s="1294"/>
      <c r="I51" s="1296"/>
      <c r="J51" s="1295"/>
      <c r="K51" s="769"/>
      <c r="L51" s="770"/>
      <c r="P51" s="1297"/>
      <c r="Q51" s="1297"/>
      <c r="R51" s="208"/>
      <c r="S51" s="742"/>
      <c r="T51" s="167" t="s">
        <v>417</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164</v>
      </c>
      <c r="B52" s="769" t="s">
        <v>165</v>
      </c>
      <c r="C52" s="769" t="s">
        <v>166</v>
      </c>
      <c r="D52" s="769" t="s">
        <v>167</v>
      </c>
      <c r="E52" s="1294"/>
      <c r="F52" s="1294"/>
      <c r="G52" s="1294"/>
      <c r="H52" s="1294"/>
      <c r="I52" s="1295"/>
      <c r="J52" s="769"/>
      <c r="K52" s="769"/>
      <c r="L52" s="770"/>
      <c r="P52" s="1297"/>
      <c r="Q52" s="122"/>
      <c r="R52" s="208"/>
      <c r="S52" s="742"/>
      <c r="T52" s="166" t="s">
        <v>418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164</v>
      </c>
      <c r="B53" s="769" t="s">
        <v>165</v>
      </c>
      <c r="C53" s="769" t="s">
        <v>166</v>
      </c>
      <c r="D53" s="769" t="s">
        <v>167</v>
      </c>
      <c r="E53" s="1294"/>
      <c r="F53" s="1294"/>
      <c r="G53" s="1294"/>
      <c r="H53" s="1293"/>
      <c r="I53" s="769"/>
      <c r="J53" s="769"/>
      <c r="K53" s="769"/>
      <c r="L53" s="770"/>
      <c r="M53" s="426"/>
      <c r="N53" s="426"/>
      <c r="O53" s="63"/>
      <c r="P53" s="34"/>
      <c r="Q53" s="216"/>
      <c r="R53" s="207"/>
      <c r="S53" s="742"/>
      <c r="T53" s="211" t="s">
        <v>419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164</v>
      </c>
      <c r="B54" s="145" t="s">
        <v>165</v>
      </c>
      <c r="C54" s="145" t="s">
        <v>166</v>
      </c>
      <c r="D54" s="145"/>
      <c r="E54" s="1294"/>
      <c r="F54" s="1294"/>
      <c r="G54" s="1293"/>
      <c r="H54" s="145"/>
      <c r="I54" s="145"/>
      <c r="J54" s="145"/>
      <c r="K54" s="145"/>
      <c r="L54" s="346"/>
      <c r="M54" s="293"/>
      <c r="N54" s="293"/>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164</v>
      </c>
      <c r="B55" s="145" t="s">
        <v>165</v>
      </c>
      <c r="C55" s="145"/>
      <c r="D55" s="145"/>
      <c r="E55" s="1294"/>
      <c r="F55" s="1293"/>
      <c r="G55" s="145"/>
      <c r="H55" s="145"/>
      <c r="I55" s="145"/>
      <c r="J55" s="145"/>
      <c r="K55" s="145"/>
      <c r="L55" s="346"/>
      <c r="M55" s="759"/>
      <c r="N55" s="759"/>
      <c r="P55" s="104"/>
      <c r="Q55" s="755"/>
      <c r="R55" s="104"/>
      <c r="S55" s="760"/>
      <c r="T55" s="762" t="s">
        <v>421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164</v>
      </c>
      <c r="B56" s="145"/>
      <c r="C56" s="145"/>
      <c r="D56" s="145"/>
      <c r="E56" s="1293"/>
      <c r="F56" s="145"/>
      <c r="G56" s="145"/>
      <c r="H56" s="145"/>
      <c r="I56" s="145"/>
      <c r="J56" s="145"/>
      <c r="K56" s="145"/>
      <c r="L56" s="346"/>
      <c r="M56" s="759"/>
      <c r="N56" s="759"/>
      <c r="P56" s="104"/>
      <c r="Q56" s="755"/>
      <c r="R56" s="104"/>
      <c r="S56" s="760"/>
      <c r="T56" s="762" t="s">
        <v>422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67.150000000000006"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64</v>
      </c>
    </row>
    <row r="61" spans="1:45" ht="14.65" customHeight="1">
      <c r="O61" s="63"/>
      <c r="AS61" s="11">
        <v>14</v>
      </c>
    </row>
    <row r="62" spans="1:45" ht="18.75" customHeight="1">
      <c r="O62" s="63"/>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63"/>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29.25" customHeight="1">
      <c r="O64" s="63"/>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402</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404</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405</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406</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407</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408</v>
      </c>
      <c r="AO5" s="69"/>
      <c r="AP5" s="69" t="str">
        <f t="shared" si="0"/>
        <v xml:space="preserve">Источник тепловой энергии  </v>
      </c>
      <c r="AQ5" s="69"/>
      <c r="AR5" s="69"/>
      <c r="AS5" s="11">
        <v>0</v>
      </c>
    </row>
    <row r="6" spans="1:45" ht="47.25" hidden="1" customHeight="1">
      <c r="A6" s="769"/>
      <c r="B6" s="769"/>
      <c r="C6" s="769"/>
      <c r="D6" s="769"/>
      <c r="E6" s="1294"/>
      <c r="F6" s="1294"/>
      <c r="G6" s="1294"/>
      <c r="H6" s="1294"/>
      <c r="I6" s="1295" t="e">
        <f>S5&amp;".1"</f>
        <v>#N/A</v>
      </c>
      <c r="J6" s="769"/>
      <c r="K6" s="769"/>
      <c r="L6" s="770" t="s">
        <v>409</v>
      </c>
      <c r="M6" s="63"/>
      <c r="P6" s="1297">
        <v>1</v>
      </c>
      <c r="Q6" s="122"/>
      <c r="R6" s="208"/>
      <c r="S6" s="709" t="e">
        <f>$I6</f>
        <v>#N/A</v>
      </c>
      <c r="T6" s="164" t="s">
        <v>410</v>
      </c>
      <c r="U6" s="171"/>
      <c r="V6" s="1281"/>
      <c r="W6" s="1282"/>
      <c r="X6" s="1282"/>
      <c r="Y6" s="1282"/>
      <c r="Z6" s="1282"/>
      <c r="AA6" s="1282"/>
      <c r="AB6" s="1282"/>
      <c r="AC6" s="1283"/>
      <c r="AD6" s="1281"/>
      <c r="AE6" s="1282"/>
      <c r="AF6" s="1282"/>
      <c r="AG6" s="1282"/>
      <c r="AH6" s="1282"/>
      <c r="AI6" s="1282"/>
      <c r="AJ6" s="1282"/>
      <c r="AK6" s="1282"/>
      <c r="AL6" s="1283"/>
      <c r="AM6" s="729" t="s">
        <v>411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4"/>
      <c r="F7" s="1294"/>
      <c r="G7" s="1294"/>
      <c r="H7" s="1294"/>
      <c r="I7" s="1296"/>
      <c r="J7" s="1295" t="e">
        <f>I6&amp;".1"</f>
        <v>#N/A</v>
      </c>
      <c r="K7" s="769"/>
      <c r="L7" s="770" t="s">
        <v>412</v>
      </c>
      <c r="M7" s="63"/>
      <c r="N7" s="63"/>
      <c r="P7" s="1297"/>
      <c r="Q7" s="1297">
        <v>1</v>
      </c>
      <c r="R7" s="209"/>
      <c r="S7" s="709" t="e">
        <f>$J7</f>
        <v>#N/A</v>
      </c>
      <c r="T7" s="165" t="s">
        <v>413</v>
      </c>
      <c r="U7" s="171"/>
      <c r="V7" s="1281"/>
      <c r="W7" s="1282"/>
      <c r="X7" s="1282"/>
      <c r="Y7" s="1282"/>
      <c r="Z7" s="1282"/>
      <c r="AA7" s="1282"/>
      <c r="AB7" s="1282"/>
      <c r="AC7" s="1283"/>
      <c r="AD7" s="1281"/>
      <c r="AE7" s="1282"/>
      <c r="AF7" s="1282"/>
      <c r="AG7" s="1282"/>
      <c r="AH7" s="1282"/>
      <c r="AI7" s="1282"/>
      <c r="AJ7" s="1282"/>
      <c r="AK7" s="1282"/>
      <c r="AL7" s="1283"/>
      <c r="AM7" s="729" t="s">
        <v>414</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415</v>
      </c>
      <c r="M8" s="63"/>
      <c r="N8" s="63"/>
      <c r="O8" s="63"/>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416</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7" t="s">
        <v>417</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4"/>
      <c r="F11" s="1294"/>
      <c r="G11" s="1294"/>
      <c r="H11" s="1294"/>
      <c r="I11" s="1295"/>
      <c r="J11" s="769"/>
      <c r="K11" s="769"/>
      <c r="L11" s="770"/>
      <c r="M11" s="63"/>
      <c r="P11" s="1297"/>
      <c r="Q11" s="122"/>
      <c r="R11" s="208"/>
      <c r="S11" s="742"/>
      <c r="T11" s="166" t="s">
        <v>418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42"/>
      <c r="T12" s="211" t="s">
        <v>419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420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421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422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423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424</v>
      </c>
      <c r="P22" s="506"/>
      <c r="Q22" s="772"/>
      <c r="R22" s="772"/>
      <c r="S22" s="426"/>
      <c r="T22" s="63" t="s">
        <v>425</v>
      </c>
      <c r="AA22" s="82" t="s">
        <v>426</v>
      </c>
      <c r="AC22" s="82" t="s">
        <v>427</v>
      </c>
      <c r="AD22" s="63" t="s">
        <v>425</v>
      </c>
      <c r="AI22" s="82" t="s">
        <v>428</v>
      </c>
      <c r="AK22" s="82" t="s">
        <v>427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14</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306</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307</v>
      </c>
      <c r="AS38" s="11">
        <v>14</v>
      </c>
    </row>
    <row r="39" spans="1:45" ht="14.65" customHeight="1">
      <c r="Q39" s="28"/>
      <c r="R39" s="28"/>
      <c r="S39" s="1306" t="s">
        <v>88</v>
      </c>
      <c r="T39" s="1254" t="s">
        <v>430</v>
      </c>
      <c r="U39" s="172"/>
      <c r="V39" s="1307" t="s">
        <v>431</v>
      </c>
      <c r="W39" s="1308"/>
      <c r="X39" s="1308"/>
      <c r="Y39" s="1308"/>
      <c r="Z39" s="1308"/>
      <c r="AA39" s="1308"/>
      <c r="AB39" s="1309"/>
      <c r="AC39" s="1310" t="s">
        <v>432</v>
      </c>
      <c r="AD39" s="1307" t="s">
        <v>431</v>
      </c>
      <c r="AE39" s="1308"/>
      <c r="AF39" s="1308"/>
      <c r="AG39" s="1308"/>
      <c r="AH39" s="1308"/>
      <c r="AI39" s="1308"/>
      <c r="AJ39" s="1309"/>
      <c r="AK39" s="1310" t="s">
        <v>433</v>
      </c>
      <c r="AL39" s="1313" t="s">
        <v>434</v>
      </c>
      <c r="AM39" s="1159"/>
      <c r="AS39" s="11">
        <v>14</v>
      </c>
    </row>
    <row r="40" spans="1:45" ht="35.65" customHeight="1">
      <c r="Q40" s="28"/>
      <c r="R40" s="28"/>
      <c r="S40" s="1306"/>
      <c r="T40" s="1254"/>
      <c r="U40" s="607"/>
      <c r="V40" s="1224" t="s">
        <v>435</v>
      </c>
      <c r="W40" s="1302" t="s">
        <v>436</v>
      </c>
      <c r="X40" s="1123" t="s">
        <v>437</v>
      </c>
      <c r="Y40" s="1"/>
      <c r="Z40" s="1123" t="s">
        <v>451</v>
      </c>
      <c r="AA40" s="1146"/>
      <c r="AB40" s="1"/>
      <c r="AC40" s="1311"/>
      <c r="AD40" s="1224" t="s">
        <v>435</v>
      </c>
      <c r="AE40" s="1302" t="s">
        <v>436</v>
      </c>
      <c r="AF40" s="1123" t="s">
        <v>437</v>
      </c>
      <c r="AG40" s="1"/>
      <c r="AH40" s="1123" t="s">
        <v>438</v>
      </c>
      <c r="AI40" s="1146"/>
      <c r="AJ40" s="1"/>
      <c r="AK40" s="1311"/>
      <c r="AL40" s="1314"/>
      <c r="AM40" s="1159"/>
      <c r="AS40" s="11">
        <v>34</v>
      </c>
    </row>
    <row r="41" spans="1:45" ht="35.65" customHeight="1">
      <c r="A41" s="82"/>
      <c r="B41" s="82" t="s">
        <v>143</v>
      </c>
      <c r="C41" s="82" t="s">
        <v>144</v>
      </c>
      <c r="D41" s="82" t="s">
        <v>145</v>
      </c>
      <c r="E41" s="770" t="s">
        <v>439</v>
      </c>
      <c r="F41" s="770" t="s">
        <v>440</v>
      </c>
      <c r="G41" s="770" t="s">
        <v>441</v>
      </c>
      <c r="H41" s="770" t="s">
        <v>442</v>
      </c>
      <c r="I41" s="770" t="s">
        <v>443</v>
      </c>
      <c r="J41" s="770" t="s">
        <v>444</v>
      </c>
      <c r="K41" s="770" t="s">
        <v>445</v>
      </c>
      <c r="L41" s="770" t="s">
        <v>424</v>
      </c>
      <c r="Q41" s="28"/>
      <c r="R41" s="28"/>
      <c r="S41" s="1306"/>
      <c r="T41" s="1254"/>
      <c r="U41" s="173"/>
      <c r="V41" s="1279"/>
      <c r="W41" s="1303"/>
      <c r="X41" s="39" t="s">
        <v>446</v>
      </c>
      <c r="Y41" s="39" t="s">
        <v>447</v>
      </c>
      <c r="Z41" s="39" t="s">
        <v>448</v>
      </c>
      <c r="AA41" s="1259" t="s">
        <v>449</v>
      </c>
      <c r="AB41" s="1273"/>
      <c r="AC41" s="1312"/>
      <c r="AD41" s="1279"/>
      <c r="AE41" s="1303"/>
      <c r="AF41" s="39" t="s">
        <v>446</v>
      </c>
      <c r="AG41" s="39" t="s">
        <v>447</v>
      </c>
      <c r="AH41" s="39" t="s">
        <v>448</v>
      </c>
      <c r="AI41" s="1259" t="s">
        <v>449</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169</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131</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169</v>
      </c>
      <c r="B44" s="769" t="s">
        <v>170</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403</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404</v>
      </c>
      <c r="AO44" s="69"/>
      <c r="AP44" s="69" t="str">
        <f t="shared" si="1"/>
        <v>Территория действия тарифа</v>
      </c>
      <c r="AQ44" s="69"/>
      <c r="AR44" s="69"/>
      <c r="AS44" s="11">
        <v>21</v>
      </c>
    </row>
    <row r="45" spans="1:45" ht="24" customHeight="1">
      <c r="A45" s="769" t="s">
        <v>169</v>
      </c>
      <c r="B45" s="769" t="s">
        <v>170</v>
      </c>
      <c r="C45" s="769" t="s">
        <v>171</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405</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406</v>
      </c>
      <c r="AO45" s="69"/>
      <c r="AP45" s="69" t="str">
        <f t="shared" si="1"/>
        <v xml:space="preserve">Наименование системы теплоснабжения </v>
      </c>
      <c r="AQ45" s="69"/>
      <c r="AR45" s="69"/>
      <c r="AS45" s="11">
        <v>23</v>
      </c>
    </row>
    <row r="46" spans="1:45" ht="21.95" customHeight="1">
      <c r="A46" s="769" t="s">
        <v>169</v>
      </c>
      <c r="B46" s="769" t="s">
        <v>170</v>
      </c>
      <c r="C46" s="769" t="s">
        <v>171</v>
      </c>
      <c r="D46" s="769" t="s">
        <v>172</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407</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408</v>
      </c>
      <c r="AO46" s="69"/>
      <c r="AP46" s="69" t="str">
        <f t="shared" si="1"/>
        <v xml:space="preserve">Источник тепловой энергии  </v>
      </c>
      <c r="AQ46" s="69"/>
      <c r="AR46" s="69"/>
      <c r="AS46" s="11">
        <v>21</v>
      </c>
    </row>
    <row r="47" spans="1:45" ht="49.5" customHeight="1">
      <c r="A47" s="769" t="s">
        <v>169</v>
      </c>
      <c r="B47" s="769" t="s">
        <v>170</v>
      </c>
      <c r="C47" s="769" t="s">
        <v>171</v>
      </c>
      <c r="D47" s="769" t="s">
        <v>172</v>
      </c>
      <c r="E47" s="1294"/>
      <c r="F47" s="1294"/>
      <c r="G47" s="1294"/>
      <c r="H47" s="1294"/>
      <c r="I47" s="1295" t="str">
        <f>S46&amp;".1"</f>
        <v>....1</v>
      </c>
      <c r="J47" s="769"/>
      <c r="K47" s="769"/>
      <c r="L47" s="770" t="s">
        <v>409</v>
      </c>
      <c r="P47" s="1297">
        <v>1</v>
      </c>
      <c r="Q47" s="122"/>
      <c r="R47" s="208"/>
      <c r="S47" s="709" t="str">
        <f>$I47</f>
        <v>....1</v>
      </c>
      <c r="T47" s="164" t="s">
        <v>410</v>
      </c>
      <c r="U47" s="171"/>
      <c r="V47" s="1281"/>
      <c r="W47" s="1282"/>
      <c r="X47" s="1282"/>
      <c r="Y47" s="1282"/>
      <c r="Z47" s="1282"/>
      <c r="AA47" s="1282"/>
      <c r="AB47" s="1282"/>
      <c r="AC47" s="1283"/>
      <c r="AD47" s="1281"/>
      <c r="AE47" s="1282"/>
      <c r="AF47" s="1282"/>
      <c r="AG47" s="1282"/>
      <c r="AH47" s="1282"/>
      <c r="AI47" s="1282"/>
      <c r="AJ47" s="1282"/>
      <c r="AK47" s="1282"/>
      <c r="AL47" s="1283"/>
      <c r="AM47" s="729" t="s">
        <v>411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169</v>
      </c>
      <c r="B48" s="769" t="s">
        <v>170</v>
      </c>
      <c r="C48" s="769" t="s">
        <v>171</v>
      </c>
      <c r="D48" s="769" t="s">
        <v>172</v>
      </c>
      <c r="E48" s="1294"/>
      <c r="F48" s="1294"/>
      <c r="G48" s="1294"/>
      <c r="H48" s="1294"/>
      <c r="I48" s="1296"/>
      <c r="J48" s="1295" t="str">
        <f>I47&amp;".1"</f>
        <v>....1.1</v>
      </c>
      <c r="K48" s="769"/>
      <c r="L48" s="770" t="s">
        <v>412</v>
      </c>
      <c r="P48" s="1297"/>
      <c r="Q48" s="1297">
        <v>1</v>
      </c>
      <c r="R48" s="209"/>
      <c r="S48" s="709" t="str">
        <f>$J48</f>
        <v>....1.1</v>
      </c>
      <c r="T48" s="165" t="s">
        <v>413</v>
      </c>
      <c r="U48" s="171"/>
      <c r="V48" s="1281"/>
      <c r="W48" s="1282"/>
      <c r="X48" s="1282"/>
      <c r="Y48" s="1282"/>
      <c r="Z48" s="1282"/>
      <c r="AA48" s="1282"/>
      <c r="AB48" s="1282"/>
      <c r="AC48" s="1283"/>
      <c r="AD48" s="1281"/>
      <c r="AE48" s="1282"/>
      <c r="AF48" s="1282"/>
      <c r="AG48" s="1282"/>
      <c r="AH48" s="1282"/>
      <c r="AI48" s="1282"/>
      <c r="AJ48" s="1282"/>
      <c r="AK48" s="1282"/>
      <c r="AL48" s="1283"/>
      <c r="AM48" s="729" t="s">
        <v>414</v>
      </c>
      <c r="AO48" s="69"/>
      <c r="AP48" s="69" t="str">
        <f t="shared" si="1"/>
        <v>Группа потребителей</v>
      </c>
      <c r="AQ48" s="69"/>
      <c r="AR48" s="69"/>
      <c r="AS48" s="11">
        <v>21</v>
      </c>
    </row>
    <row r="49" spans="1:45" ht="21.95" customHeight="1">
      <c r="A49" s="769" t="s">
        <v>169</v>
      </c>
      <c r="B49" s="769" t="s">
        <v>170</v>
      </c>
      <c r="C49" s="769" t="s">
        <v>171</v>
      </c>
      <c r="D49" s="769" t="s">
        <v>172</v>
      </c>
      <c r="E49" s="1294"/>
      <c r="F49" s="1294"/>
      <c r="G49" s="1294"/>
      <c r="H49" s="1294"/>
      <c r="I49" s="1296"/>
      <c r="J49" s="1296"/>
      <c r="K49" s="1295" t="str">
        <f>J48&amp;".1"</f>
        <v>....1.1.1</v>
      </c>
      <c r="L49" s="770" t="s">
        <v>415</v>
      </c>
      <c r="P49" s="1297"/>
      <c r="Q49" s="1297"/>
      <c r="R49" s="209">
        <v>1</v>
      </c>
      <c r="S49" s="709" t="str">
        <f>$K49</f>
        <v>....1.1.1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416</v>
      </c>
      <c r="AN49" s="68" t="e">
        <f ca="1">STRCHECKDATE(V50:AL50)</f>
        <v>#NAME?</v>
      </c>
      <c r="AO49" s="69"/>
      <c r="AP49" s="69" t="str">
        <f t="shared" si="1"/>
        <v/>
      </c>
      <c r="AQ49" s="69"/>
      <c r="AR49" s="69"/>
      <c r="AS49" s="11">
        <v>21</v>
      </c>
    </row>
    <row r="50" spans="1:45" ht="1.1499999999999999" customHeight="1">
      <c r="A50" s="769" t="s">
        <v>169</v>
      </c>
      <c r="B50" s="769" t="s">
        <v>170</v>
      </c>
      <c r="C50" s="769" t="s">
        <v>171</v>
      </c>
      <c r="D50" s="769" t="s">
        <v>172</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169</v>
      </c>
      <c r="B51" s="769" t="s">
        <v>170</v>
      </c>
      <c r="C51" s="769" t="s">
        <v>171</v>
      </c>
      <c r="D51" s="769" t="s">
        <v>172</v>
      </c>
      <c r="E51" s="1294"/>
      <c r="F51" s="1294"/>
      <c r="G51" s="1294"/>
      <c r="H51" s="1294"/>
      <c r="I51" s="1296"/>
      <c r="J51" s="1295"/>
      <c r="K51" s="769"/>
      <c r="L51" s="770"/>
      <c r="P51" s="1297"/>
      <c r="Q51" s="1297"/>
      <c r="R51" s="208"/>
      <c r="S51" s="742"/>
      <c r="T51" s="167" t="s">
        <v>417</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169</v>
      </c>
      <c r="B52" s="769" t="s">
        <v>170</v>
      </c>
      <c r="C52" s="769" t="s">
        <v>171</v>
      </c>
      <c r="D52" s="769" t="s">
        <v>172</v>
      </c>
      <c r="E52" s="1294"/>
      <c r="F52" s="1294"/>
      <c r="G52" s="1294"/>
      <c r="H52" s="1294"/>
      <c r="I52" s="1295"/>
      <c r="J52" s="769"/>
      <c r="K52" s="769"/>
      <c r="L52" s="770"/>
      <c r="P52" s="1297"/>
      <c r="Q52" s="122"/>
      <c r="R52" s="208"/>
      <c r="S52" s="742"/>
      <c r="T52" s="166" t="s">
        <v>418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169</v>
      </c>
      <c r="B53" s="769" t="s">
        <v>170</v>
      </c>
      <c r="C53" s="769" t="s">
        <v>171</v>
      </c>
      <c r="D53" s="769" t="s">
        <v>172</v>
      </c>
      <c r="E53" s="1294"/>
      <c r="F53" s="1294"/>
      <c r="G53" s="1294"/>
      <c r="H53" s="1293"/>
      <c r="I53" s="769"/>
      <c r="J53" s="769"/>
      <c r="K53" s="769"/>
      <c r="L53" s="770"/>
      <c r="M53" s="426"/>
      <c r="N53" s="426"/>
      <c r="O53" s="63"/>
      <c r="P53" s="34"/>
      <c r="Q53" s="216"/>
      <c r="R53" s="207"/>
      <c r="S53" s="742"/>
      <c r="T53" s="211" t="s">
        <v>419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169</v>
      </c>
      <c r="B54" s="145" t="s">
        <v>170</v>
      </c>
      <c r="C54" s="145" t="s">
        <v>171</v>
      </c>
      <c r="D54" s="145"/>
      <c r="E54" s="1294"/>
      <c r="F54" s="1294"/>
      <c r="G54" s="1293"/>
      <c r="H54" s="145"/>
      <c r="I54" s="145"/>
      <c r="J54" s="145"/>
      <c r="K54" s="145"/>
      <c r="L54" s="346"/>
      <c r="M54" s="293"/>
      <c r="N54" s="293"/>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169</v>
      </c>
      <c r="B55" s="145" t="s">
        <v>170</v>
      </c>
      <c r="C55" s="145"/>
      <c r="D55" s="145"/>
      <c r="E55" s="1294"/>
      <c r="F55" s="1293"/>
      <c r="G55" s="145"/>
      <c r="H55" s="145"/>
      <c r="I55" s="145"/>
      <c r="J55" s="145"/>
      <c r="K55" s="145"/>
      <c r="L55" s="346"/>
      <c r="M55" s="759"/>
      <c r="N55" s="759"/>
      <c r="P55" s="104"/>
      <c r="Q55" s="755"/>
      <c r="R55" s="104"/>
      <c r="S55" s="760"/>
      <c r="T55" s="762" t="s">
        <v>421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169</v>
      </c>
      <c r="B56" s="145"/>
      <c r="C56" s="145"/>
      <c r="D56" s="145"/>
      <c r="E56" s="1293"/>
      <c r="F56" s="145"/>
      <c r="G56" s="145"/>
      <c r="H56" s="145"/>
      <c r="I56" s="145"/>
      <c r="J56" s="145"/>
      <c r="K56" s="145"/>
      <c r="L56" s="346"/>
      <c r="M56" s="759"/>
      <c r="N56" s="759"/>
      <c r="P56" s="104"/>
      <c r="Q56" s="755"/>
      <c r="R56" s="104"/>
      <c r="S56" s="760"/>
      <c r="T56" s="762" t="s">
        <v>422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65.25"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62</v>
      </c>
    </row>
    <row r="61" spans="1:45" ht="14.65" customHeight="1">
      <c r="O61" s="63"/>
      <c r="AS61" s="11">
        <v>14</v>
      </c>
    </row>
    <row r="62" spans="1:45" ht="18.75" customHeight="1">
      <c r="O62" s="63"/>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63"/>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29.25" customHeight="1">
      <c r="O64" s="63"/>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19">
        <v>1</v>
      </c>
      <c r="F2" s="731"/>
      <c r="G2" s="731"/>
      <c r="H2" s="731"/>
      <c r="I2" s="731"/>
      <c r="J2" s="731"/>
      <c r="K2" s="731"/>
      <c r="L2" s="754"/>
      <c r="M2" s="342"/>
      <c r="N2" s="342"/>
      <c r="O2" s="342"/>
      <c r="Q2" s="34"/>
      <c r="R2" s="207"/>
      <c r="S2" s="709" t="e">
        <f>INDEX(PT_DIFFERENTIATION_NUM_NTAR,MATCH(A2,PT_DIFFERENTIATION_NTAR_ID,0))</f>
        <v>#N/A</v>
      </c>
      <c r="T2" s="67" t="s">
        <v>131</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402</v>
      </c>
      <c r="AO2" s="69"/>
      <c r="AP2" s="69" t="str">
        <f t="shared" ref="AP2:AP15" si="0">IF(T2="","",T2)</f>
        <v>Наименование тарифа</v>
      </c>
      <c r="AQ2" s="69"/>
      <c r="AR2" s="69"/>
      <c r="AS2" s="11">
        <v>0</v>
      </c>
    </row>
    <row r="3" spans="1:45" ht="21" hidden="1" customHeight="1">
      <c r="A3" s="731"/>
      <c r="B3" s="731"/>
      <c r="C3" s="731"/>
      <c r="D3" s="731"/>
      <c r="E3" s="1320"/>
      <c r="F3" s="1319">
        <v>1</v>
      </c>
      <c r="G3" s="731"/>
      <c r="H3" s="731"/>
      <c r="I3" s="731"/>
      <c r="J3" s="731"/>
      <c r="K3" s="731"/>
      <c r="L3" s="754"/>
      <c r="M3" s="342"/>
      <c r="N3" s="342"/>
      <c r="O3" s="342"/>
      <c r="P3" s="58"/>
      <c r="Q3" s="204"/>
      <c r="R3" s="205"/>
      <c r="S3" s="709" t="e">
        <f>INDEX(PT_DIFFERENTIATION_NUM_TER,MATCH(B3,PT_DIFFERENTIATION_TER_ID,0))</f>
        <v>#N/A</v>
      </c>
      <c r="T3" s="177" t="s">
        <v>403</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404</v>
      </c>
      <c r="AO3" s="69"/>
      <c r="AP3" s="69" t="str">
        <f t="shared" si="0"/>
        <v>Территория действия тарифа</v>
      </c>
      <c r="AQ3" s="69"/>
      <c r="AR3" s="69"/>
      <c r="AS3" s="11">
        <v>0</v>
      </c>
    </row>
    <row r="4" spans="1:45" ht="23.25" hidden="1" customHeight="1">
      <c r="A4" s="731"/>
      <c r="B4" s="731"/>
      <c r="C4" s="731"/>
      <c r="D4" s="731"/>
      <c r="E4" s="1320"/>
      <c r="F4" s="1320"/>
      <c r="G4" s="1319">
        <v>1</v>
      </c>
      <c r="H4" s="731"/>
      <c r="I4" s="731"/>
      <c r="J4" s="731"/>
      <c r="K4" s="731"/>
      <c r="L4" s="754"/>
      <c r="M4" s="342"/>
      <c r="N4" s="342"/>
      <c r="O4" s="342"/>
      <c r="P4" s="206"/>
      <c r="Q4" s="204"/>
      <c r="R4" s="205"/>
      <c r="S4" s="709" t="e">
        <f>INDEX(PT_DIFFERENTIATION_NUM_CS,MATCH(C4,PT_DIFFERENTIATION_CS_ID,0))</f>
        <v>#N/A</v>
      </c>
      <c r="T4" s="178" t="s">
        <v>405</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406</v>
      </c>
      <c r="AO4" s="69"/>
      <c r="AP4" s="69" t="str">
        <f t="shared" si="0"/>
        <v xml:space="preserve">Наименование системы теплоснабжения </v>
      </c>
      <c r="AQ4" s="69"/>
      <c r="AR4" s="69"/>
      <c r="AS4" s="11">
        <v>0</v>
      </c>
    </row>
    <row r="5" spans="1:45" ht="21" hidden="1" customHeight="1">
      <c r="A5" s="731"/>
      <c r="B5" s="731"/>
      <c r="C5" s="731"/>
      <c r="D5" s="731"/>
      <c r="E5" s="1320"/>
      <c r="F5" s="1320"/>
      <c r="G5" s="1320"/>
      <c r="H5" s="1319">
        <v>1</v>
      </c>
      <c r="I5" s="731"/>
      <c r="J5" s="731"/>
      <c r="K5" s="731"/>
      <c r="L5" s="754"/>
      <c r="M5" s="342"/>
      <c r="N5" s="342"/>
      <c r="O5" s="342"/>
      <c r="P5" s="206"/>
      <c r="Q5" s="204"/>
      <c r="R5" s="205"/>
      <c r="S5" s="709" t="e">
        <f>INDEX(PT_DIFFERENTIATION_NUM_IST_TE,MATCH(D5,PT_DIFFERENTIATION_IST_TE_ID,0))</f>
        <v>#N/A</v>
      </c>
      <c r="T5" s="179" t="s">
        <v>407</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408</v>
      </c>
      <c r="AO5" s="69"/>
      <c r="AP5" s="69" t="str">
        <f t="shared" si="0"/>
        <v xml:space="preserve">Источник тепловой энергии  </v>
      </c>
      <c r="AQ5" s="69"/>
      <c r="AR5" s="69"/>
      <c r="AS5" s="11">
        <v>0</v>
      </c>
    </row>
    <row r="6" spans="1:45" ht="47.25" hidden="1" customHeight="1">
      <c r="A6" s="731"/>
      <c r="B6" s="731"/>
      <c r="C6" s="731"/>
      <c r="D6" s="731"/>
      <c r="E6" s="1320"/>
      <c r="F6" s="1320"/>
      <c r="G6" s="1320"/>
      <c r="H6" s="1320"/>
      <c r="I6" s="1159" t="e">
        <f>S5&amp;".1"</f>
        <v>#N/A</v>
      </c>
      <c r="J6" s="731"/>
      <c r="K6" s="731"/>
      <c r="L6" s="754" t="s">
        <v>409</v>
      </c>
      <c r="M6" s="11"/>
      <c r="P6" s="1297">
        <v>1</v>
      </c>
      <c r="Q6" s="122"/>
      <c r="R6" s="208"/>
      <c r="S6" s="709" t="e">
        <f>$I6</f>
        <v>#N/A</v>
      </c>
      <c r="T6" s="164" t="s">
        <v>410</v>
      </c>
      <c r="U6" s="171"/>
      <c r="V6" s="1281"/>
      <c r="W6" s="1282"/>
      <c r="X6" s="1282"/>
      <c r="Y6" s="1282"/>
      <c r="Z6" s="1282"/>
      <c r="AA6" s="1282"/>
      <c r="AB6" s="1282"/>
      <c r="AC6" s="1283"/>
      <c r="AD6" s="1281"/>
      <c r="AE6" s="1282"/>
      <c r="AF6" s="1282"/>
      <c r="AG6" s="1282"/>
      <c r="AH6" s="1282"/>
      <c r="AI6" s="1282"/>
      <c r="AJ6" s="1282"/>
      <c r="AK6" s="1282"/>
      <c r="AL6" s="1283"/>
      <c r="AM6" s="729" t="s">
        <v>411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20"/>
      <c r="F7" s="1320"/>
      <c r="G7" s="1320"/>
      <c r="H7" s="1320"/>
      <c r="I7" s="1123"/>
      <c r="J7" s="1159" t="e">
        <f>I6&amp;".1"</f>
        <v>#N/A</v>
      </c>
      <c r="K7" s="731"/>
      <c r="L7" s="754" t="s">
        <v>412</v>
      </c>
      <c r="M7" s="11"/>
      <c r="N7" s="11"/>
      <c r="P7" s="1297"/>
      <c r="Q7" s="1297">
        <v>1</v>
      </c>
      <c r="R7" s="209"/>
      <c r="S7" s="709" t="e">
        <f>$J7</f>
        <v>#N/A</v>
      </c>
      <c r="T7" s="165" t="s">
        <v>413</v>
      </c>
      <c r="U7" s="171"/>
      <c r="V7" s="1281"/>
      <c r="W7" s="1282"/>
      <c r="X7" s="1282"/>
      <c r="Y7" s="1282"/>
      <c r="Z7" s="1282"/>
      <c r="AA7" s="1282"/>
      <c r="AB7" s="1282"/>
      <c r="AC7" s="1283"/>
      <c r="AD7" s="1281"/>
      <c r="AE7" s="1282"/>
      <c r="AF7" s="1282"/>
      <c r="AG7" s="1282"/>
      <c r="AH7" s="1282"/>
      <c r="AI7" s="1282"/>
      <c r="AJ7" s="1282"/>
      <c r="AK7" s="1282"/>
      <c r="AL7" s="1283"/>
      <c r="AM7" s="729" t="s">
        <v>414</v>
      </c>
      <c r="AO7" s="69"/>
      <c r="AP7" s="69" t="str">
        <f t="shared" si="0"/>
        <v>Группа потребителей</v>
      </c>
      <c r="AQ7" s="69"/>
      <c r="AR7" s="69"/>
      <c r="AS7" s="11">
        <v>0</v>
      </c>
    </row>
    <row r="8" spans="1:45" ht="21" hidden="1" customHeight="1">
      <c r="A8" s="731"/>
      <c r="B8" s="731"/>
      <c r="C8" s="731"/>
      <c r="D8" s="731"/>
      <c r="E8" s="1320"/>
      <c r="F8" s="1320"/>
      <c r="G8" s="1320"/>
      <c r="H8" s="1320"/>
      <c r="I8" s="1123"/>
      <c r="J8" s="1123"/>
      <c r="K8" s="1159" t="e">
        <f>J7&amp;".1"</f>
        <v>#N/A</v>
      </c>
      <c r="L8" s="754" t="s">
        <v>415</v>
      </c>
      <c r="M8" s="11"/>
      <c r="N8" s="11"/>
      <c r="O8" s="11"/>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416</v>
      </c>
      <c r="AN8" s="68" t="e">
        <f ca="1">STRCHECKDATE(V9:AL9)</f>
        <v>#NAME?</v>
      </c>
      <c r="AO8" s="69"/>
      <c r="AP8" s="69" t="str">
        <f t="shared" si="0"/>
        <v/>
      </c>
      <c r="AQ8" s="69"/>
      <c r="AR8" s="69"/>
      <c r="AS8" s="11">
        <v>0</v>
      </c>
    </row>
    <row r="9" spans="1:45" ht="0.75" hidden="1" customHeight="1">
      <c r="A9" s="731"/>
      <c r="B9" s="731"/>
      <c r="C9" s="731"/>
      <c r="D9" s="731"/>
      <c r="E9" s="1320"/>
      <c r="F9" s="1320"/>
      <c r="G9" s="1320"/>
      <c r="H9" s="1320"/>
      <c r="I9" s="1123"/>
      <c r="J9" s="1123"/>
      <c r="K9" s="1159"/>
      <c r="L9" s="754"/>
      <c r="M9" s="11"/>
      <c r="N9" s="11"/>
      <c r="O9" s="11"/>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31"/>
      <c r="B10" s="731"/>
      <c r="C10" s="731"/>
      <c r="D10" s="731"/>
      <c r="E10" s="1320"/>
      <c r="F10" s="1320"/>
      <c r="G10" s="1320"/>
      <c r="H10" s="1320"/>
      <c r="I10" s="1123"/>
      <c r="J10" s="1159"/>
      <c r="K10" s="731"/>
      <c r="L10" s="754"/>
      <c r="M10" s="11"/>
      <c r="N10" s="11"/>
      <c r="P10" s="1297"/>
      <c r="Q10" s="1297"/>
      <c r="R10" s="208"/>
      <c r="S10" s="742"/>
      <c r="T10" s="167" t="s">
        <v>417</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20"/>
      <c r="F11" s="1320"/>
      <c r="G11" s="1320"/>
      <c r="H11" s="1320"/>
      <c r="I11" s="1159"/>
      <c r="J11" s="731"/>
      <c r="K11" s="731"/>
      <c r="L11" s="754"/>
      <c r="M11" s="11"/>
      <c r="P11" s="1297"/>
      <c r="Q11" s="122"/>
      <c r="R11" s="208"/>
      <c r="S11" s="742"/>
      <c r="T11" s="166" t="s">
        <v>418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20"/>
      <c r="F12" s="1320"/>
      <c r="G12" s="1320"/>
      <c r="H12" s="1319"/>
      <c r="I12" s="731"/>
      <c r="J12" s="731"/>
      <c r="K12" s="731"/>
      <c r="L12" s="754"/>
      <c r="M12" s="342"/>
      <c r="N12" s="342"/>
      <c r="O12" s="11"/>
      <c r="P12" s="34"/>
      <c r="Q12" s="216"/>
      <c r="R12" s="207"/>
      <c r="S12" s="742"/>
      <c r="T12" s="211" t="s">
        <v>419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20"/>
      <c r="F13" s="1320"/>
      <c r="G13" s="1319"/>
      <c r="H13" s="774"/>
      <c r="I13" s="774"/>
      <c r="J13" s="774"/>
      <c r="K13" s="774"/>
      <c r="L13" s="775"/>
      <c r="M13" s="776"/>
      <c r="N13" s="776"/>
      <c r="O13" s="203"/>
      <c r="P13" s="104"/>
      <c r="Q13" s="755"/>
      <c r="R13" s="104"/>
      <c r="S13" s="756"/>
      <c r="T13" s="757" t="s">
        <v>420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20"/>
      <c r="F14" s="1319"/>
      <c r="G14" s="774"/>
      <c r="H14" s="774"/>
      <c r="I14" s="774"/>
      <c r="J14" s="774"/>
      <c r="K14" s="774"/>
      <c r="L14" s="775"/>
      <c r="M14" s="777"/>
      <c r="N14" s="777"/>
      <c r="O14" s="203"/>
      <c r="P14" s="104"/>
      <c r="Q14" s="755"/>
      <c r="R14" s="104"/>
      <c r="S14" s="760"/>
      <c r="T14" s="761" t="s">
        <v>421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19"/>
      <c r="F15" s="774"/>
      <c r="G15" s="774"/>
      <c r="H15" s="774"/>
      <c r="I15" s="774"/>
      <c r="J15" s="774"/>
      <c r="K15" s="774"/>
      <c r="L15" s="775"/>
      <c r="M15" s="777"/>
      <c r="N15" s="777"/>
      <c r="O15" s="203"/>
      <c r="P15" s="104"/>
      <c r="Q15" s="755"/>
      <c r="R15" s="104"/>
      <c r="S15" s="760"/>
      <c r="T15" s="762" t="s">
        <v>422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A20" s="11"/>
      <c r="B20" s="11"/>
      <c r="C20" s="11"/>
      <c r="D20" s="11"/>
      <c r="E20" s="11"/>
      <c r="F20" s="11"/>
      <c r="G20" s="11"/>
      <c r="H20" s="11"/>
      <c r="I20" s="11"/>
      <c r="J20" s="11"/>
      <c r="K20" s="11"/>
      <c r="L20" s="58"/>
      <c r="M20" s="33"/>
      <c r="N20" s="33"/>
      <c r="O20" s="764" t="s">
        <v>423</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424</v>
      </c>
      <c r="P22" s="506"/>
      <c r="Q22" s="772"/>
      <c r="R22" s="772"/>
      <c r="S22" s="426"/>
      <c r="T22" s="63" t="s">
        <v>425</v>
      </c>
      <c r="AA22" s="82" t="s">
        <v>426</v>
      </c>
      <c r="AC22" s="82" t="s">
        <v>427</v>
      </c>
      <c r="AD22" s="63" t="s">
        <v>425</v>
      </c>
      <c r="AI22" s="82" t="s">
        <v>428</v>
      </c>
      <c r="AK22" s="82" t="s">
        <v>427</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14</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306</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307</v>
      </c>
      <c r="AS38" s="11">
        <v>14</v>
      </c>
    </row>
    <row r="39" spans="1:45" ht="14.65" customHeight="1">
      <c r="Q39" s="28"/>
      <c r="R39" s="28"/>
      <c r="S39" s="1306" t="s">
        <v>88</v>
      </c>
      <c r="T39" s="1254" t="s">
        <v>430</v>
      </c>
      <c r="U39" s="172"/>
      <c r="V39" s="1307" t="s">
        <v>431</v>
      </c>
      <c r="W39" s="1308"/>
      <c r="X39" s="1308"/>
      <c r="Y39" s="1308"/>
      <c r="Z39" s="1308"/>
      <c r="AA39" s="1308"/>
      <c r="AB39" s="1309"/>
      <c r="AC39" s="1310" t="s">
        <v>432</v>
      </c>
      <c r="AD39" s="1307" t="s">
        <v>431</v>
      </c>
      <c r="AE39" s="1308"/>
      <c r="AF39" s="1308"/>
      <c r="AG39" s="1308"/>
      <c r="AH39" s="1308"/>
      <c r="AI39" s="1308"/>
      <c r="AJ39" s="1309"/>
      <c r="AK39" s="1310" t="s">
        <v>433</v>
      </c>
      <c r="AL39" s="1313" t="s">
        <v>434</v>
      </c>
      <c r="AM39" s="1159"/>
      <c r="AS39" s="11">
        <v>14</v>
      </c>
    </row>
    <row r="40" spans="1:45" ht="35.65" customHeight="1">
      <c r="Q40" s="28"/>
      <c r="R40" s="28"/>
      <c r="S40" s="1306"/>
      <c r="T40" s="1254"/>
      <c r="U40" s="607"/>
      <c r="V40" s="1224" t="s">
        <v>435</v>
      </c>
      <c r="W40" s="1302" t="s">
        <v>436</v>
      </c>
      <c r="X40" s="1123" t="s">
        <v>437</v>
      </c>
      <c r="Y40" s="1"/>
      <c r="Z40" s="1123" t="s">
        <v>451</v>
      </c>
      <c r="AA40" s="1146"/>
      <c r="AB40" s="1"/>
      <c r="AC40" s="1311"/>
      <c r="AD40" s="1224" t="s">
        <v>435</v>
      </c>
      <c r="AE40" s="1302" t="s">
        <v>436</v>
      </c>
      <c r="AF40" s="1123" t="s">
        <v>437</v>
      </c>
      <c r="AG40" s="1"/>
      <c r="AH40" s="1123" t="s">
        <v>438</v>
      </c>
      <c r="AI40" s="1146"/>
      <c r="AJ40" s="1"/>
      <c r="AK40" s="1311"/>
      <c r="AL40" s="1314"/>
      <c r="AM40" s="1159"/>
      <c r="AS40" s="11">
        <v>34</v>
      </c>
    </row>
    <row r="41" spans="1:45" ht="35.65" customHeight="1">
      <c r="A41" s="17"/>
      <c r="B41" s="17" t="s">
        <v>143</v>
      </c>
      <c r="C41" s="17" t="s">
        <v>144</v>
      </c>
      <c r="D41" s="17" t="s">
        <v>145</v>
      </c>
      <c r="E41" s="754" t="s">
        <v>439</v>
      </c>
      <c r="F41" s="754" t="s">
        <v>440</v>
      </c>
      <c r="G41" s="754" t="s">
        <v>441</v>
      </c>
      <c r="H41" s="754" t="s">
        <v>442</v>
      </c>
      <c r="I41" s="754" t="s">
        <v>443</v>
      </c>
      <c r="J41" s="754" t="s">
        <v>444</v>
      </c>
      <c r="K41" s="754" t="s">
        <v>445</v>
      </c>
      <c r="L41" s="754" t="s">
        <v>424</v>
      </c>
      <c r="Q41" s="28"/>
      <c r="R41" s="28"/>
      <c r="S41" s="1306"/>
      <c r="T41" s="1254"/>
      <c r="U41" s="173"/>
      <c r="V41" s="1279"/>
      <c r="W41" s="1303"/>
      <c r="X41" s="39" t="s">
        <v>446</v>
      </c>
      <c r="Y41" s="39" t="s">
        <v>447</v>
      </c>
      <c r="Z41" s="39" t="s">
        <v>448</v>
      </c>
      <c r="AA41" s="1259" t="s">
        <v>449</v>
      </c>
      <c r="AB41" s="1273"/>
      <c r="AC41" s="1312"/>
      <c r="AD41" s="1279"/>
      <c r="AE41" s="1303"/>
      <c r="AF41" s="39" t="s">
        <v>446</v>
      </c>
      <c r="AG41" s="39" t="s">
        <v>447</v>
      </c>
      <c r="AH41" s="39" t="s">
        <v>448</v>
      </c>
      <c r="AI41" s="1259" t="s">
        <v>449</v>
      </c>
      <c r="AJ41" s="1273"/>
      <c r="AK41" s="1312"/>
      <c r="AL41" s="1315"/>
      <c r="AM41" s="1159"/>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31" t="s">
        <v>218</v>
      </c>
      <c r="B43" s="731"/>
      <c r="C43" s="731"/>
      <c r="D43" s="731"/>
      <c r="E43" s="1319">
        <v>1</v>
      </c>
      <c r="F43" s="731"/>
      <c r="G43" s="731"/>
      <c r="H43" s="731"/>
      <c r="I43" s="731"/>
      <c r="J43" s="731"/>
      <c r="K43" s="731"/>
      <c r="L43" s="754"/>
      <c r="M43" s="342"/>
      <c r="N43" s="342"/>
      <c r="O43" s="342"/>
      <c r="Q43" s="34"/>
      <c r="R43" s="207"/>
      <c r="S43" s="709">
        <f>INDEX(PT_DIFFERENTIATION_NUM_NTAR,MATCH(A43,PT_DIFFERENTIATION_NTAR_ID,0))</f>
        <v>0</v>
      </c>
      <c r="T43" s="67" t="s">
        <v>131</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218</v>
      </c>
      <c r="B44" s="731" t="s">
        <v>219</v>
      </c>
      <c r="C44" s="731"/>
      <c r="D44" s="731"/>
      <c r="E44" s="1320"/>
      <c r="F44" s="1319">
        <v>1</v>
      </c>
      <c r="G44" s="731"/>
      <c r="H44" s="731"/>
      <c r="I44" s="731"/>
      <c r="J44" s="731"/>
      <c r="K44" s="731"/>
      <c r="L44" s="754"/>
      <c r="M44" s="342"/>
      <c r="N44" s="342"/>
      <c r="O44" s="342"/>
      <c r="P44" s="58"/>
      <c r="Q44" s="204"/>
      <c r="R44" s="205"/>
      <c r="S44" s="709" t="str">
        <f>INDEX(PT_DIFFERENTIATION_NUM_TER,MATCH(B44,PT_DIFFERENTIATION_TER_ID,0))</f>
        <v>.</v>
      </c>
      <c r="T44" s="177" t="s">
        <v>403</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404</v>
      </c>
      <c r="AO44" s="69"/>
      <c r="AP44" s="69" t="str">
        <f t="shared" si="1"/>
        <v>Территория действия тарифа</v>
      </c>
      <c r="AQ44" s="69"/>
      <c r="AR44" s="69"/>
      <c r="AS44" s="11">
        <v>21</v>
      </c>
    </row>
    <row r="45" spans="1:45" ht="24" customHeight="1">
      <c r="A45" s="731" t="s">
        <v>218</v>
      </c>
      <c r="B45" s="731" t="s">
        <v>219</v>
      </c>
      <c r="C45" s="731" t="s">
        <v>220</v>
      </c>
      <c r="D45" s="731"/>
      <c r="E45" s="1320"/>
      <c r="F45" s="1320"/>
      <c r="G45" s="1319">
        <v>1</v>
      </c>
      <c r="H45" s="731"/>
      <c r="I45" s="731"/>
      <c r="J45" s="731"/>
      <c r="K45" s="731"/>
      <c r="L45" s="754"/>
      <c r="M45" s="342"/>
      <c r="N45" s="342"/>
      <c r="O45" s="342"/>
      <c r="P45" s="206"/>
      <c r="Q45" s="204"/>
      <c r="R45" s="205"/>
      <c r="S45" s="709" t="str">
        <f>INDEX(PT_DIFFERENTIATION_NUM_CS,MATCH(C45,PT_DIFFERENTIATION_CS_ID,0))</f>
        <v>..</v>
      </c>
      <c r="T45" s="178" t="s">
        <v>405</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406</v>
      </c>
      <c r="AO45" s="69"/>
      <c r="AP45" s="69" t="str">
        <f t="shared" si="1"/>
        <v xml:space="preserve">Наименование системы теплоснабжения </v>
      </c>
      <c r="AQ45" s="69"/>
      <c r="AR45" s="69"/>
      <c r="AS45" s="11">
        <v>23</v>
      </c>
    </row>
    <row r="46" spans="1:45" ht="21.95" customHeight="1">
      <c r="A46" s="731" t="s">
        <v>218</v>
      </c>
      <c r="B46" s="731" t="s">
        <v>219</v>
      </c>
      <c r="C46" s="731" t="s">
        <v>220</v>
      </c>
      <c r="D46" s="731" t="s">
        <v>221</v>
      </c>
      <c r="E46" s="1320"/>
      <c r="F46" s="1320"/>
      <c r="G46" s="1320"/>
      <c r="H46" s="1319">
        <v>1</v>
      </c>
      <c r="I46" s="731"/>
      <c r="J46" s="731"/>
      <c r="K46" s="731"/>
      <c r="L46" s="754"/>
      <c r="M46" s="342"/>
      <c r="N46" s="342"/>
      <c r="O46" s="342"/>
      <c r="P46" s="206"/>
      <c r="Q46" s="204"/>
      <c r="R46" s="205"/>
      <c r="S46" s="709" t="str">
        <f>INDEX(PT_DIFFERENTIATION_NUM_IST_TE,MATCH(D46,PT_DIFFERENTIATION_IST_TE_ID,0))</f>
        <v>...</v>
      </c>
      <c r="T46" s="179" t="s">
        <v>407</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408</v>
      </c>
      <c r="AO46" s="69"/>
      <c r="AP46" s="69" t="str">
        <f t="shared" si="1"/>
        <v xml:space="preserve">Источник тепловой энергии  </v>
      </c>
      <c r="AQ46" s="69"/>
      <c r="AR46" s="69"/>
      <c r="AS46" s="11">
        <v>21</v>
      </c>
    </row>
    <row r="47" spans="1:45" ht="49.5" customHeight="1">
      <c r="A47" s="731" t="s">
        <v>218</v>
      </c>
      <c r="B47" s="731" t="s">
        <v>219</v>
      </c>
      <c r="C47" s="731" t="s">
        <v>220</v>
      </c>
      <c r="D47" s="731" t="s">
        <v>221</v>
      </c>
      <c r="E47" s="1320"/>
      <c r="F47" s="1320"/>
      <c r="G47" s="1320"/>
      <c r="H47" s="1320"/>
      <c r="I47" s="1159" t="str">
        <f>S46&amp;".1"</f>
        <v>....1</v>
      </c>
      <c r="J47" s="731"/>
      <c r="K47" s="731"/>
      <c r="L47" s="754" t="s">
        <v>409</v>
      </c>
      <c r="P47" s="1297">
        <v>1</v>
      </c>
      <c r="Q47" s="122"/>
      <c r="R47" s="208"/>
      <c r="S47" s="709" t="str">
        <f>$I47</f>
        <v>....1</v>
      </c>
      <c r="T47" s="164" t="s">
        <v>410</v>
      </c>
      <c r="U47" s="171"/>
      <c r="V47" s="1281"/>
      <c r="W47" s="1282"/>
      <c r="X47" s="1282"/>
      <c r="Y47" s="1282"/>
      <c r="Z47" s="1282"/>
      <c r="AA47" s="1282"/>
      <c r="AB47" s="1282"/>
      <c r="AC47" s="1283"/>
      <c r="AD47" s="1281"/>
      <c r="AE47" s="1282"/>
      <c r="AF47" s="1282"/>
      <c r="AG47" s="1282"/>
      <c r="AH47" s="1282"/>
      <c r="AI47" s="1282"/>
      <c r="AJ47" s="1282"/>
      <c r="AK47" s="1282"/>
      <c r="AL47" s="1283"/>
      <c r="AM47" s="729" t="s">
        <v>411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218</v>
      </c>
      <c r="B48" s="731" t="s">
        <v>219</v>
      </c>
      <c r="C48" s="731" t="s">
        <v>220</v>
      </c>
      <c r="D48" s="731" t="s">
        <v>221</v>
      </c>
      <c r="E48" s="1320"/>
      <c r="F48" s="1320"/>
      <c r="G48" s="1320"/>
      <c r="H48" s="1320"/>
      <c r="I48" s="1123"/>
      <c r="J48" s="1159" t="str">
        <f>I47&amp;".1"</f>
        <v>....1.1</v>
      </c>
      <c r="K48" s="731"/>
      <c r="L48" s="754" t="s">
        <v>412</v>
      </c>
      <c r="P48" s="1297"/>
      <c r="Q48" s="1297">
        <v>1</v>
      </c>
      <c r="R48" s="209"/>
      <c r="S48" s="709" t="str">
        <f>$J48</f>
        <v>....1.1</v>
      </c>
      <c r="T48" s="165" t="s">
        <v>413</v>
      </c>
      <c r="U48" s="171"/>
      <c r="V48" s="1281"/>
      <c r="W48" s="1282"/>
      <c r="X48" s="1282"/>
      <c r="Y48" s="1282"/>
      <c r="Z48" s="1282"/>
      <c r="AA48" s="1282"/>
      <c r="AB48" s="1282"/>
      <c r="AC48" s="1283"/>
      <c r="AD48" s="1281"/>
      <c r="AE48" s="1282"/>
      <c r="AF48" s="1282"/>
      <c r="AG48" s="1282"/>
      <c r="AH48" s="1282"/>
      <c r="AI48" s="1282"/>
      <c r="AJ48" s="1282"/>
      <c r="AK48" s="1282"/>
      <c r="AL48" s="1283"/>
      <c r="AM48" s="729" t="s">
        <v>414</v>
      </c>
      <c r="AO48" s="69"/>
      <c r="AP48" s="69" t="str">
        <f t="shared" si="1"/>
        <v>Группа потребителей</v>
      </c>
      <c r="AQ48" s="69"/>
      <c r="AR48" s="69"/>
      <c r="AS48" s="11">
        <v>21</v>
      </c>
    </row>
    <row r="49" spans="1:45" ht="21.95" customHeight="1">
      <c r="A49" s="731" t="s">
        <v>218</v>
      </c>
      <c r="B49" s="731" t="s">
        <v>219</v>
      </c>
      <c r="C49" s="731" t="s">
        <v>220</v>
      </c>
      <c r="D49" s="731" t="s">
        <v>221</v>
      </c>
      <c r="E49" s="1320"/>
      <c r="F49" s="1320"/>
      <c r="G49" s="1320"/>
      <c r="H49" s="1320"/>
      <c r="I49" s="1123"/>
      <c r="J49" s="1123"/>
      <c r="K49" s="1159" t="str">
        <f>J48&amp;".1"</f>
        <v>....1.1.1</v>
      </c>
      <c r="L49" s="754" t="s">
        <v>415</v>
      </c>
      <c r="P49" s="1297"/>
      <c r="Q49" s="1297"/>
      <c r="R49" s="209">
        <v>1</v>
      </c>
      <c r="S49" s="709" t="str">
        <f>$K49</f>
        <v>....1.1.1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416</v>
      </c>
      <c r="AN49" s="68" t="e">
        <f ca="1">STRCHECKDATE(V50:AL50)</f>
        <v>#NAME?</v>
      </c>
      <c r="AO49" s="69"/>
      <c r="AP49" s="69" t="str">
        <f t="shared" si="1"/>
        <v/>
      </c>
      <c r="AQ49" s="69"/>
      <c r="AR49" s="69"/>
      <c r="AS49" s="11">
        <v>21</v>
      </c>
    </row>
    <row r="50" spans="1:45" ht="1.1499999999999999" customHeight="1">
      <c r="A50" s="731" t="s">
        <v>218</v>
      </c>
      <c r="B50" s="731" t="s">
        <v>219</v>
      </c>
      <c r="C50" s="731" t="s">
        <v>220</v>
      </c>
      <c r="D50" s="731" t="s">
        <v>221</v>
      </c>
      <c r="E50" s="1320"/>
      <c r="F50" s="1320"/>
      <c r="G50" s="1320"/>
      <c r="H50" s="1320"/>
      <c r="I50" s="1123"/>
      <c r="J50" s="1123"/>
      <c r="K50" s="1159"/>
      <c r="L50" s="754"/>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31" t="s">
        <v>218</v>
      </c>
      <c r="B51" s="731" t="s">
        <v>219</v>
      </c>
      <c r="C51" s="731" t="s">
        <v>220</v>
      </c>
      <c r="D51" s="731" t="s">
        <v>221</v>
      </c>
      <c r="E51" s="1320"/>
      <c r="F51" s="1320"/>
      <c r="G51" s="1320"/>
      <c r="H51" s="1320"/>
      <c r="I51" s="1123"/>
      <c r="J51" s="1159"/>
      <c r="K51" s="731"/>
      <c r="L51" s="754"/>
      <c r="P51" s="1297"/>
      <c r="Q51" s="1297"/>
      <c r="R51" s="208"/>
      <c r="S51" s="742"/>
      <c r="T51" s="167" t="s">
        <v>417</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31" t="s">
        <v>218</v>
      </c>
      <c r="B52" s="731" t="s">
        <v>219</v>
      </c>
      <c r="C52" s="731" t="s">
        <v>220</v>
      </c>
      <c r="D52" s="731" t="s">
        <v>221</v>
      </c>
      <c r="E52" s="1320"/>
      <c r="F52" s="1320"/>
      <c r="G52" s="1320"/>
      <c r="H52" s="1320"/>
      <c r="I52" s="1159"/>
      <c r="J52" s="731"/>
      <c r="K52" s="731"/>
      <c r="L52" s="754"/>
      <c r="P52" s="1297"/>
      <c r="Q52" s="122"/>
      <c r="R52" s="208"/>
      <c r="S52" s="742"/>
      <c r="T52" s="166" t="s">
        <v>418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218</v>
      </c>
      <c r="B53" s="731" t="s">
        <v>219</v>
      </c>
      <c r="C53" s="731" t="s">
        <v>220</v>
      </c>
      <c r="D53" s="731" t="s">
        <v>221</v>
      </c>
      <c r="E53" s="1320"/>
      <c r="F53" s="1320"/>
      <c r="G53" s="1320"/>
      <c r="H53" s="1319"/>
      <c r="I53" s="731"/>
      <c r="J53" s="731"/>
      <c r="K53" s="731"/>
      <c r="L53" s="754"/>
      <c r="M53" s="342"/>
      <c r="N53" s="342"/>
      <c r="O53" s="11"/>
      <c r="P53" s="34"/>
      <c r="Q53" s="216"/>
      <c r="R53" s="207"/>
      <c r="S53" s="742"/>
      <c r="T53" s="211" t="s">
        <v>419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218</v>
      </c>
      <c r="B54" s="774" t="s">
        <v>219</v>
      </c>
      <c r="C54" s="774" t="s">
        <v>220</v>
      </c>
      <c r="D54" s="774"/>
      <c r="E54" s="1320"/>
      <c r="F54" s="1320"/>
      <c r="G54" s="1319"/>
      <c r="H54" s="774"/>
      <c r="I54" s="774"/>
      <c r="J54" s="774"/>
      <c r="K54" s="774"/>
      <c r="L54" s="775"/>
      <c r="M54" s="776"/>
      <c r="N54" s="776"/>
      <c r="O54" s="203"/>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218</v>
      </c>
      <c r="B55" s="774" t="s">
        <v>219</v>
      </c>
      <c r="C55" s="774"/>
      <c r="D55" s="774"/>
      <c r="E55" s="1320"/>
      <c r="F55" s="1319"/>
      <c r="G55" s="774"/>
      <c r="H55" s="774"/>
      <c r="I55" s="774"/>
      <c r="J55" s="774"/>
      <c r="K55" s="774"/>
      <c r="L55" s="775"/>
      <c r="M55" s="777"/>
      <c r="N55" s="777"/>
      <c r="O55" s="203"/>
      <c r="P55" s="104"/>
      <c r="Q55" s="755"/>
      <c r="R55" s="104"/>
      <c r="S55" s="760"/>
      <c r="T55" s="762" t="s">
        <v>421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218</v>
      </c>
      <c r="B56" s="774"/>
      <c r="C56" s="774"/>
      <c r="D56" s="774"/>
      <c r="E56" s="1319"/>
      <c r="F56" s="774"/>
      <c r="G56" s="774"/>
      <c r="H56" s="774"/>
      <c r="I56" s="774"/>
      <c r="J56" s="774"/>
      <c r="K56" s="774"/>
      <c r="L56" s="775"/>
      <c r="M56" s="777"/>
      <c r="N56" s="777"/>
      <c r="O56" s="203"/>
      <c r="P56" s="104"/>
      <c r="Q56" s="755"/>
      <c r="R56" s="104"/>
      <c r="S56" s="760"/>
      <c r="T56" s="762" t="s">
        <v>422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450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65.25" customHeight="1">
      <c r="O60" s="11"/>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62</v>
      </c>
    </row>
    <row r="61" spans="1:45" ht="14.65" customHeight="1">
      <c r="O61" s="11"/>
      <c r="AS61" s="11">
        <v>14</v>
      </c>
    </row>
    <row r="62" spans="1:45" ht="18.75" customHeight="1">
      <c r="O62" s="11"/>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11"/>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29.25" customHeight="1">
      <c r="O64" s="11"/>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19">
        <v>1</v>
      </c>
      <c r="F2" s="731"/>
      <c r="G2" s="731"/>
      <c r="H2" s="731"/>
      <c r="I2" s="731"/>
      <c r="J2" s="731"/>
      <c r="K2" s="731"/>
      <c r="L2" s="754"/>
      <c r="M2" s="342"/>
      <c r="N2" s="342"/>
      <c r="O2" s="342"/>
      <c r="Q2" s="34"/>
      <c r="R2" s="207"/>
      <c r="S2" s="709" t="e">
        <f>INDEX(PT_DIFFERENTIATION_NUM_NTAR,MATCH(A2,PT_DIFFERENTIATION_NTAR_ID,0))</f>
        <v>#N/A</v>
      </c>
      <c r="T2" s="67" t="s">
        <v>131</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402</v>
      </c>
      <c r="AO2" s="69"/>
      <c r="AP2" s="69" t="str">
        <f t="shared" ref="AP2:AP15" si="0">IF(T2="","",T2)</f>
        <v>Наименование тарифа</v>
      </c>
      <c r="AQ2" s="69"/>
      <c r="AR2" s="69"/>
      <c r="AS2" s="11">
        <v>0</v>
      </c>
    </row>
    <row r="3" spans="1:45" ht="21" hidden="1" customHeight="1">
      <c r="A3" s="731"/>
      <c r="B3" s="731"/>
      <c r="C3" s="731"/>
      <c r="D3" s="731"/>
      <c r="E3" s="1320"/>
      <c r="F3" s="1319">
        <v>1</v>
      </c>
      <c r="G3" s="731"/>
      <c r="H3" s="731"/>
      <c r="I3" s="731"/>
      <c r="J3" s="731"/>
      <c r="K3" s="731"/>
      <c r="L3" s="754"/>
      <c r="M3" s="342"/>
      <c r="N3" s="342"/>
      <c r="O3" s="342"/>
      <c r="P3" s="58"/>
      <c r="Q3" s="204"/>
      <c r="R3" s="205"/>
      <c r="S3" s="709" t="e">
        <f>INDEX(PT_DIFFERENTIATION_NUM_TER,MATCH(B3,PT_DIFFERENTIATION_TER_ID,0))</f>
        <v>#N/A</v>
      </c>
      <c r="T3" s="177" t="s">
        <v>403</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404</v>
      </c>
      <c r="AO3" s="69"/>
      <c r="AP3" s="69" t="str">
        <f t="shared" si="0"/>
        <v>Территория действия тарифа</v>
      </c>
      <c r="AQ3" s="69"/>
      <c r="AR3" s="69"/>
      <c r="AS3" s="11">
        <v>0</v>
      </c>
    </row>
    <row r="4" spans="1:45" ht="23.25" hidden="1" customHeight="1">
      <c r="A4" s="731"/>
      <c r="B4" s="731"/>
      <c r="C4" s="731"/>
      <c r="D4" s="731"/>
      <c r="E4" s="1320"/>
      <c r="F4" s="1320"/>
      <c r="G4" s="1319">
        <v>1</v>
      </c>
      <c r="H4" s="731"/>
      <c r="I4" s="731"/>
      <c r="J4" s="731"/>
      <c r="K4" s="731"/>
      <c r="L4" s="754"/>
      <c r="M4" s="342"/>
      <c r="N4" s="342"/>
      <c r="O4" s="342"/>
      <c r="P4" s="206"/>
      <c r="Q4" s="204"/>
      <c r="R4" s="205"/>
      <c r="S4" s="709" t="e">
        <f>INDEX(PT_DIFFERENTIATION_NUM_CS,MATCH(C4,PT_DIFFERENTIATION_CS_ID,0))</f>
        <v>#N/A</v>
      </c>
      <c r="T4" s="178" t="s">
        <v>405</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406</v>
      </c>
      <c r="AO4" s="69"/>
      <c r="AP4" s="69" t="str">
        <f t="shared" si="0"/>
        <v xml:space="preserve">Наименование системы теплоснабжения </v>
      </c>
      <c r="AQ4" s="69"/>
      <c r="AR4" s="69"/>
      <c r="AS4" s="11">
        <v>0</v>
      </c>
    </row>
    <row r="5" spans="1:45" ht="21" hidden="1" customHeight="1">
      <c r="A5" s="731"/>
      <c r="B5" s="731"/>
      <c r="C5" s="731"/>
      <c r="D5" s="731"/>
      <c r="E5" s="1320"/>
      <c r="F5" s="1320"/>
      <c r="G5" s="1320"/>
      <c r="H5" s="1319">
        <v>1</v>
      </c>
      <c r="I5" s="731"/>
      <c r="J5" s="731"/>
      <c r="K5" s="731"/>
      <c r="L5" s="754"/>
      <c r="M5" s="342"/>
      <c r="N5" s="342"/>
      <c r="O5" s="342"/>
      <c r="P5" s="206"/>
      <c r="Q5" s="204"/>
      <c r="R5" s="205"/>
      <c r="S5" s="709" t="e">
        <f>INDEX(PT_DIFFERENTIATION_NUM_IST_TE,MATCH(D5,PT_DIFFERENTIATION_IST_TE_ID,0))</f>
        <v>#N/A</v>
      </c>
      <c r="T5" s="179" t="s">
        <v>407</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408</v>
      </c>
      <c r="AO5" s="69"/>
      <c r="AP5" s="69" t="str">
        <f t="shared" si="0"/>
        <v xml:space="preserve">Источник тепловой энергии  </v>
      </c>
      <c r="AQ5" s="69"/>
      <c r="AR5" s="69"/>
      <c r="AS5" s="11">
        <v>0</v>
      </c>
    </row>
    <row r="6" spans="1:45" ht="47.25" hidden="1" customHeight="1">
      <c r="A6" s="731"/>
      <c r="B6" s="731"/>
      <c r="C6" s="731"/>
      <c r="D6" s="731"/>
      <c r="E6" s="1320"/>
      <c r="F6" s="1320"/>
      <c r="G6" s="1320"/>
      <c r="H6" s="1320"/>
      <c r="I6" s="1159" t="e">
        <f>S5&amp;".1"</f>
        <v>#N/A</v>
      </c>
      <c r="J6" s="731"/>
      <c r="K6" s="731"/>
      <c r="L6" s="754" t="s">
        <v>409</v>
      </c>
      <c r="M6" s="11"/>
      <c r="P6" s="1297">
        <v>1</v>
      </c>
      <c r="Q6" s="122"/>
      <c r="R6" s="208"/>
      <c r="S6" s="709" t="e">
        <f>$I6</f>
        <v>#N/A</v>
      </c>
      <c r="T6" s="164" t="s">
        <v>410</v>
      </c>
      <c r="U6" s="171"/>
      <c r="V6" s="1281"/>
      <c r="W6" s="1282"/>
      <c r="X6" s="1282"/>
      <c r="Y6" s="1282"/>
      <c r="Z6" s="1282"/>
      <c r="AA6" s="1282"/>
      <c r="AB6" s="1282"/>
      <c r="AC6" s="1283"/>
      <c r="AD6" s="1281"/>
      <c r="AE6" s="1282"/>
      <c r="AF6" s="1282"/>
      <c r="AG6" s="1282"/>
      <c r="AH6" s="1282"/>
      <c r="AI6" s="1282"/>
      <c r="AJ6" s="1282"/>
      <c r="AK6" s="1282"/>
      <c r="AL6" s="1283"/>
      <c r="AM6" s="729" t="s">
        <v>411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20"/>
      <c r="F7" s="1320"/>
      <c r="G7" s="1320"/>
      <c r="H7" s="1320"/>
      <c r="I7" s="1123"/>
      <c r="J7" s="1159" t="e">
        <f>I6&amp;".1"</f>
        <v>#N/A</v>
      </c>
      <c r="K7" s="731"/>
      <c r="L7" s="754" t="s">
        <v>412</v>
      </c>
      <c r="M7" s="11"/>
      <c r="N7" s="11"/>
      <c r="P7" s="1297"/>
      <c r="Q7" s="1297">
        <v>1</v>
      </c>
      <c r="R7" s="209"/>
      <c r="S7" s="709" t="e">
        <f>$J7</f>
        <v>#N/A</v>
      </c>
      <c r="T7" s="165" t="s">
        <v>413</v>
      </c>
      <c r="U7" s="171"/>
      <c r="V7" s="1281"/>
      <c r="W7" s="1282"/>
      <c r="X7" s="1282"/>
      <c r="Y7" s="1282"/>
      <c r="Z7" s="1282"/>
      <c r="AA7" s="1282"/>
      <c r="AB7" s="1282"/>
      <c r="AC7" s="1283"/>
      <c r="AD7" s="1281"/>
      <c r="AE7" s="1282"/>
      <c r="AF7" s="1282"/>
      <c r="AG7" s="1282"/>
      <c r="AH7" s="1282"/>
      <c r="AI7" s="1282"/>
      <c r="AJ7" s="1282"/>
      <c r="AK7" s="1282"/>
      <c r="AL7" s="1283"/>
      <c r="AM7" s="729" t="s">
        <v>414</v>
      </c>
      <c r="AO7" s="69"/>
      <c r="AP7" s="69" t="str">
        <f t="shared" si="0"/>
        <v>Группа потребителей</v>
      </c>
      <c r="AQ7" s="69"/>
      <c r="AR7" s="69"/>
      <c r="AS7" s="11">
        <v>0</v>
      </c>
    </row>
    <row r="8" spans="1:45" ht="21" hidden="1" customHeight="1">
      <c r="A8" s="731"/>
      <c r="B8" s="731"/>
      <c r="C8" s="731"/>
      <c r="D8" s="731"/>
      <c r="E8" s="1320"/>
      <c r="F8" s="1320"/>
      <c r="G8" s="1320"/>
      <c r="H8" s="1320"/>
      <c r="I8" s="1123"/>
      <c r="J8" s="1123"/>
      <c r="K8" s="1159" t="e">
        <f>J7&amp;".1"</f>
        <v>#N/A</v>
      </c>
      <c r="L8" s="754" t="s">
        <v>415</v>
      </c>
      <c r="M8" s="11"/>
      <c r="N8" s="11"/>
      <c r="O8" s="11"/>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416</v>
      </c>
      <c r="AN8" s="68" t="e">
        <f ca="1">STRCHECKDATE(V9:AL9)</f>
        <v>#NAME?</v>
      </c>
      <c r="AO8" s="69"/>
      <c r="AP8" s="69" t="str">
        <f t="shared" si="0"/>
        <v/>
      </c>
      <c r="AQ8" s="69"/>
      <c r="AR8" s="69"/>
      <c r="AS8" s="11">
        <v>0</v>
      </c>
    </row>
    <row r="9" spans="1:45" ht="0.75" hidden="1" customHeight="1">
      <c r="A9" s="731"/>
      <c r="B9" s="731"/>
      <c r="C9" s="731"/>
      <c r="D9" s="731"/>
      <c r="E9" s="1320"/>
      <c r="F9" s="1320"/>
      <c r="G9" s="1320"/>
      <c r="H9" s="1320"/>
      <c r="I9" s="1123"/>
      <c r="J9" s="1123"/>
      <c r="K9" s="1159"/>
      <c r="L9" s="754"/>
      <c r="M9" s="11"/>
      <c r="N9" s="11"/>
      <c r="O9" s="11"/>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31"/>
      <c r="B10" s="731"/>
      <c r="C10" s="731"/>
      <c r="D10" s="731"/>
      <c r="E10" s="1320"/>
      <c r="F10" s="1320"/>
      <c r="G10" s="1320"/>
      <c r="H10" s="1320"/>
      <c r="I10" s="1123"/>
      <c r="J10" s="1159"/>
      <c r="K10" s="731"/>
      <c r="L10" s="754"/>
      <c r="M10" s="11"/>
      <c r="N10" s="11"/>
      <c r="P10" s="1297"/>
      <c r="Q10" s="1297"/>
      <c r="R10" s="208"/>
      <c r="S10" s="742"/>
      <c r="T10" s="167" t="s">
        <v>417</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20"/>
      <c r="F11" s="1320"/>
      <c r="G11" s="1320"/>
      <c r="H11" s="1320"/>
      <c r="I11" s="1159"/>
      <c r="J11" s="731"/>
      <c r="K11" s="731"/>
      <c r="L11" s="754"/>
      <c r="M11" s="11"/>
      <c r="P11" s="1297"/>
      <c r="Q11" s="122"/>
      <c r="R11" s="208"/>
      <c r="S11" s="742"/>
      <c r="T11" s="166" t="s">
        <v>418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20"/>
      <c r="F12" s="1320"/>
      <c r="G12" s="1320"/>
      <c r="H12" s="1319"/>
      <c r="I12" s="731"/>
      <c r="J12" s="731"/>
      <c r="K12" s="731"/>
      <c r="L12" s="754"/>
      <c r="M12" s="342"/>
      <c r="N12" s="342"/>
      <c r="O12" s="11"/>
      <c r="P12" s="34"/>
      <c r="Q12" s="216"/>
      <c r="R12" s="207"/>
      <c r="S12" s="742"/>
      <c r="T12" s="211" t="s">
        <v>419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20"/>
      <c r="F13" s="1320"/>
      <c r="G13" s="1319"/>
      <c r="H13" s="731"/>
      <c r="I13" s="731"/>
      <c r="J13" s="731"/>
      <c r="K13" s="731"/>
      <c r="L13" s="754"/>
      <c r="M13" s="342"/>
      <c r="N13" s="342"/>
      <c r="O13" s="11"/>
      <c r="P13" s="104"/>
      <c r="Q13" s="755"/>
      <c r="R13" s="104"/>
      <c r="S13" s="756"/>
      <c r="T13" s="757" t="s">
        <v>420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20"/>
      <c r="F14" s="1319"/>
      <c r="G14" s="731"/>
      <c r="H14" s="731"/>
      <c r="I14" s="731"/>
      <c r="J14" s="731"/>
      <c r="K14" s="731"/>
      <c r="L14" s="754"/>
      <c r="M14" s="1047"/>
      <c r="N14" s="1047"/>
      <c r="O14" s="11"/>
      <c r="P14" s="104"/>
      <c r="Q14" s="755"/>
      <c r="R14" s="104"/>
      <c r="S14" s="760"/>
      <c r="T14" s="761" t="s">
        <v>421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19"/>
      <c r="F15" s="731"/>
      <c r="G15" s="731"/>
      <c r="H15" s="731"/>
      <c r="I15" s="731"/>
      <c r="J15" s="731"/>
      <c r="K15" s="731"/>
      <c r="L15" s="754"/>
      <c r="M15" s="1047"/>
      <c r="N15" s="1047"/>
      <c r="O15" s="11"/>
      <c r="P15" s="104"/>
      <c r="Q15" s="755"/>
      <c r="R15" s="104"/>
      <c r="S15" s="760"/>
      <c r="T15" s="762" t="s">
        <v>422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A20" s="11"/>
      <c r="B20" s="11"/>
      <c r="C20" s="11"/>
      <c r="D20" s="11"/>
      <c r="E20" s="11"/>
      <c r="F20" s="11"/>
      <c r="G20" s="11"/>
      <c r="H20" s="11"/>
      <c r="I20" s="11"/>
      <c r="J20" s="11"/>
      <c r="K20" s="11"/>
      <c r="L20" s="58"/>
      <c r="M20" s="33"/>
      <c r="N20" s="33"/>
      <c r="O20" s="764" t="s">
        <v>423</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424</v>
      </c>
      <c r="P22" s="506"/>
      <c r="Q22" s="772"/>
      <c r="R22" s="772"/>
      <c r="S22" s="426"/>
      <c r="T22" s="63" t="s">
        <v>425</v>
      </c>
      <c r="AA22" s="82" t="s">
        <v>426</v>
      </c>
      <c r="AC22" s="82" t="s">
        <v>427</v>
      </c>
      <c r="AD22" s="63" t="s">
        <v>425</v>
      </c>
      <c r="AI22" s="82" t="s">
        <v>428</v>
      </c>
      <c r="AK22" s="82" t="s">
        <v>427</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14</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306</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307</v>
      </c>
      <c r="AS38" s="11">
        <v>14</v>
      </c>
    </row>
    <row r="39" spans="1:45" ht="14.65" customHeight="1">
      <c r="Q39" s="28"/>
      <c r="R39" s="28"/>
      <c r="S39" s="1306" t="s">
        <v>88</v>
      </c>
      <c r="T39" s="1254" t="s">
        <v>430</v>
      </c>
      <c r="U39" s="172"/>
      <c r="V39" s="1307" t="s">
        <v>431</v>
      </c>
      <c r="W39" s="1308"/>
      <c r="X39" s="1308"/>
      <c r="Y39" s="1308"/>
      <c r="Z39" s="1308"/>
      <c r="AA39" s="1308"/>
      <c r="AB39" s="1309"/>
      <c r="AC39" s="1310" t="s">
        <v>432</v>
      </c>
      <c r="AD39" s="1307" t="s">
        <v>431</v>
      </c>
      <c r="AE39" s="1308"/>
      <c r="AF39" s="1308"/>
      <c r="AG39" s="1308"/>
      <c r="AH39" s="1308"/>
      <c r="AI39" s="1308"/>
      <c r="AJ39" s="1309"/>
      <c r="AK39" s="1310" t="s">
        <v>433</v>
      </c>
      <c r="AL39" s="1313" t="s">
        <v>434</v>
      </c>
      <c r="AM39" s="1159"/>
      <c r="AS39" s="11">
        <v>14</v>
      </c>
    </row>
    <row r="40" spans="1:45" ht="35.65" customHeight="1">
      <c r="Q40" s="28"/>
      <c r="R40" s="28"/>
      <c r="S40" s="1306"/>
      <c r="T40" s="1254"/>
      <c r="U40" s="607"/>
      <c r="V40" s="1224" t="s">
        <v>435</v>
      </c>
      <c r="W40" s="1302" t="s">
        <v>436</v>
      </c>
      <c r="X40" s="1123" t="s">
        <v>437</v>
      </c>
      <c r="Y40" s="1"/>
      <c r="Z40" s="1123" t="s">
        <v>451</v>
      </c>
      <c r="AA40" s="1146"/>
      <c r="AB40" s="1"/>
      <c r="AC40" s="1311"/>
      <c r="AD40" s="1224" t="s">
        <v>435</v>
      </c>
      <c r="AE40" s="1302" t="s">
        <v>436</v>
      </c>
      <c r="AF40" s="1123" t="s">
        <v>437</v>
      </c>
      <c r="AG40" s="1"/>
      <c r="AH40" s="1123" t="s">
        <v>438</v>
      </c>
      <c r="AI40" s="1146"/>
      <c r="AJ40" s="1"/>
      <c r="AK40" s="1311"/>
      <c r="AL40" s="1314"/>
      <c r="AM40" s="1159"/>
      <c r="AS40" s="11">
        <v>34</v>
      </c>
    </row>
    <row r="41" spans="1:45" ht="35.65" customHeight="1">
      <c r="A41" s="17"/>
      <c r="B41" s="17" t="s">
        <v>143</v>
      </c>
      <c r="C41" s="17" t="s">
        <v>144</v>
      </c>
      <c r="D41" s="17" t="s">
        <v>145</v>
      </c>
      <c r="E41" s="754" t="s">
        <v>439</v>
      </c>
      <c r="F41" s="754" t="s">
        <v>440</v>
      </c>
      <c r="G41" s="754" t="s">
        <v>441</v>
      </c>
      <c r="H41" s="754" t="s">
        <v>442</v>
      </c>
      <c r="I41" s="754" t="s">
        <v>443</v>
      </c>
      <c r="J41" s="754" t="s">
        <v>444</v>
      </c>
      <c r="K41" s="754" t="s">
        <v>445</v>
      </c>
      <c r="L41" s="754" t="s">
        <v>424</v>
      </c>
      <c r="Q41" s="28"/>
      <c r="R41" s="28"/>
      <c r="S41" s="1306"/>
      <c r="T41" s="1254"/>
      <c r="U41" s="173"/>
      <c r="V41" s="1279"/>
      <c r="W41" s="1303"/>
      <c r="X41" s="39" t="s">
        <v>446</v>
      </c>
      <c r="Y41" s="39" t="s">
        <v>447</v>
      </c>
      <c r="Z41" s="39" t="s">
        <v>448</v>
      </c>
      <c r="AA41" s="1259" t="s">
        <v>449</v>
      </c>
      <c r="AB41" s="1273"/>
      <c r="AC41" s="1312"/>
      <c r="AD41" s="1279"/>
      <c r="AE41" s="1303"/>
      <c r="AF41" s="39" t="s">
        <v>446</v>
      </c>
      <c r="AG41" s="39" t="s">
        <v>447</v>
      </c>
      <c r="AH41" s="39" t="s">
        <v>448</v>
      </c>
      <c r="AI41" s="1259" t="s">
        <v>449</v>
      </c>
      <c r="AJ41" s="1273"/>
      <c r="AK41" s="1312"/>
      <c r="AL41" s="1315"/>
      <c r="AM41" s="1159"/>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31" t="s">
        <v>218</v>
      </c>
      <c r="B43" s="731"/>
      <c r="C43" s="731"/>
      <c r="D43" s="731"/>
      <c r="E43" s="1319">
        <v>1</v>
      </c>
      <c r="F43" s="731"/>
      <c r="G43" s="731"/>
      <c r="H43" s="731"/>
      <c r="I43" s="731"/>
      <c r="J43" s="731"/>
      <c r="K43" s="731"/>
      <c r="L43" s="754"/>
      <c r="M43" s="342"/>
      <c r="N43" s="342"/>
      <c r="O43" s="342"/>
      <c r="Q43" s="34"/>
      <c r="R43" s="207"/>
      <c r="S43" s="709">
        <f>INDEX(PT_DIFFERENTIATION_NUM_NTAR,MATCH(A43,PT_DIFFERENTIATION_NTAR_ID,0))</f>
        <v>0</v>
      </c>
      <c r="T43" s="67" t="s">
        <v>131</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218</v>
      </c>
      <c r="B44" s="731" t="s">
        <v>219</v>
      </c>
      <c r="C44" s="731"/>
      <c r="D44" s="731"/>
      <c r="E44" s="1320"/>
      <c r="F44" s="1319">
        <v>1</v>
      </c>
      <c r="G44" s="731"/>
      <c r="H44" s="731"/>
      <c r="I44" s="731"/>
      <c r="J44" s="731"/>
      <c r="K44" s="731"/>
      <c r="L44" s="754"/>
      <c r="M44" s="342"/>
      <c r="N44" s="342"/>
      <c r="O44" s="342"/>
      <c r="P44" s="58"/>
      <c r="Q44" s="204"/>
      <c r="R44" s="205"/>
      <c r="S44" s="709" t="str">
        <f>INDEX(PT_DIFFERENTIATION_NUM_TER,MATCH(B44,PT_DIFFERENTIATION_TER_ID,0))</f>
        <v>.</v>
      </c>
      <c r="T44" s="177" t="s">
        <v>403</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404</v>
      </c>
      <c r="AO44" s="69"/>
      <c r="AP44" s="69" t="str">
        <f t="shared" si="1"/>
        <v>Территория действия тарифа</v>
      </c>
      <c r="AQ44" s="69"/>
      <c r="AR44" s="69"/>
      <c r="AS44" s="11">
        <v>21</v>
      </c>
    </row>
    <row r="45" spans="1:45" ht="24" customHeight="1">
      <c r="A45" s="731" t="s">
        <v>218</v>
      </c>
      <c r="B45" s="731" t="s">
        <v>219</v>
      </c>
      <c r="C45" s="731" t="s">
        <v>220</v>
      </c>
      <c r="D45" s="731"/>
      <c r="E45" s="1320"/>
      <c r="F45" s="1320"/>
      <c r="G45" s="1319">
        <v>1</v>
      </c>
      <c r="H45" s="731"/>
      <c r="I45" s="731"/>
      <c r="J45" s="731"/>
      <c r="K45" s="731"/>
      <c r="L45" s="754"/>
      <c r="M45" s="342"/>
      <c r="N45" s="342"/>
      <c r="O45" s="342"/>
      <c r="P45" s="206"/>
      <c r="Q45" s="204"/>
      <c r="R45" s="205"/>
      <c r="S45" s="709" t="str">
        <f>INDEX(PT_DIFFERENTIATION_NUM_CS,MATCH(C45,PT_DIFFERENTIATION_CS_ID,0))</f>
        <v>..</v>
      </c>
      <c r="T45" s="178" t="s">
        <v>405</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406</v>
      </c>
      <c r="AO45" s="69"/>
      <c r="AP45" s="69" t="str">
        <f t="shared" si="1"/>
        <v xml:space="preserve">Наименование системы теплоснабжения </v>
      </c>
      <c r="AQ45" s="69"/>
      <c r="AR45" s="69"/>
      <c r="AS45" s="11">
        <v>23</v>
      </c>
    </row>
    <row r="46" spans="1:45" ht="21.95" customHeight="1">
      <c r="A46" s="731" t="s">
        <v>218</v>
      </c>
      <c r="B46" s="731" t="s">
        <v>219</v>
      </c>
      <c r="C46" s="731" t="s">
        <v>220</v>
      </c>
      <c r="D46" s="731" t="s">
        <v>221</v>
      </c>
      <c r="E46" s="1320"/>
      <c r="F46" s="1320"/>
      <c r="G46" s="1320"/>
      <c r="H46" s="1319">
        <v>1</v>
      </c>
      <c r="I46" s="731"/>
      <c r="J46" s="731"/>
      <c r="K46" s="731"/>
      <c r="L46" s="754"/>
      <c r="M46" s="342"/>
      <c r="N46" s="342"/>
      <c r="O46" s="342"/>
      <c r="P46" s="206"/>
      <c r="Q46" s="204"/>
      <c r="R46" s="205"/>
      <c r="S46" s="709" t="str">
        <f>INDEX(PT_DIFFERENTIATION_NUM_IST_TE,MATCH(D46,PT_DIFFERENTIATION_IST_TE_ID,0))</f>
        <v>...</v>
      </c>
      <c r="T46" s="179" t="s">
        <v>407</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408</v>
      </c>
      <c r="AO46" s="69"/>
      <c r="AP46" s="69" t="str">
        <f t="shared" si="1"/>
        <v xml:space="preserve">Источник тепловой энергии  </v>
      </c>
      <c r="AQ46" s="69"/>
      <c r="AR46" s="69"/>
      <c r="AS46" s="11">
        <v>21</v>
      </c>
    </row>
    <row r="47" spans="1:45" ht="49.5" customHeight="1">
      <c r="A47" s="731" t="s">
        <v>218</v>
      </c>
      <c r="B47" s="731" t="s">
        <v>219</v>
      </c>
      <c r="C47" s="731" t="s">
        <v>220</v>
      </c>
      <c r="D47" s="731" t="s">
        <v>221</v>
      </c>
      <c r="E47" s="1320"/>
      <c r="F47" s="1320"/>
      <c r="G47" s="1320"/>
      <c r="H47" s="1320"/>
      <c r="I47" s="1159" t="str">
        <f>S46&amp;".1"</f>
        <v>....1</v>
      </c>
      <c r="J47" s="731"/>
      <c r="K47" s="731"/>
      <c r="L47" s="754" t="s">
        <v>409</v>
      </c>
      <c r="P47" s="1297">
        <v>1</v>
      </c>
      <c r="Q47" s="122"/>
      <c r="R47" s="208"/>
      <c r="S47" s="709" t="str">
        <f>$I47</f>
        <v>....1</v>
      </c>
      <c r="T47" s="164" t="s">
        <v>410</v>
      </c>
      <c r="U47" s="171"/>
      <c r="V47" s="1281"/>
      <c r="W47" s="1282"/>
      <c r="X47" s="1282"/>
      <c r="Y47" s="1282"/>
      <c r="Z47" s="1282"/>
      <c r="AA47" s="1282"/>
      <c r="AB47" s="1282"/>
      <c r="AC47" s="1283"/>
      <c r="AD47" s="1281"/>
      <c r="AE47" s="1282"/>
      <c r="AF47" s="1282"/>
      <c r="AG47" s="1282"/>
      <c r="AH47" s="1282"/>
      <c r="AI47" s="1282"/>
      <c r="AJ47" s="1282"/>
      <c r="AK47" s="1282"/>
      <c r="AL47" s="1283"/>
      <c r="AM47" s="729" t="s">
        <v>411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218</v>
      </c>
      <c r="B48" s="731" t="s">
        <v>219</v>
      </c>
      <c r="C48" s="731" t="s">
        <v>220</v>
      </c>
      <c r="D48" s="731" t="s">
        <v>221</v>
      </c>
      <c r="E48" s="1320"/>
      <c r="F48" s="1320"/>
      <c r="G48" s="1320"/>
      <c r="H48" s="1320"/>
      <c r="I48" s="1123"/>
      <c r="J48" s="1159" t="str">
        <f>I47&amp;".1"</f>
        <v>....1.1</v>
      </c>
      <c r="K48" s="731"/>
      <c r="L48" s="754" t="s">
        <v>412</v>
      </c>
      <c r="P48" s="1297"/>
      <c r="Q48" s="1297">
        <v>1</v>
      </c>
      <c r="R48" s="209"/>
      <c r="S48" s="709" t="str">
        <f>$J48</f>
        <v>....1.1</v>
      </c>
      <c r="T48" s="165" t="s">
        <v>413</v>
      </c>
      <c r="U48" s="171"/>
      <c r="V48" s="1281"/>
      <c r="W48" s="1282"/>
      <c r="X48" s="1282"/>
      <c r="Y48" s="1282"/>
      <c r="Z48" s="1282"/>
      <c r="AA48" s="1282"/>
      <c r="AB48" s="1282"/>
      <c r="AC48" s="1283"/>
      <c r="AD48" s="1281"/>
      <c r="AE48" s="1282"/>
      <c r="AF48" s="1282"/>
      <c r="AG48" s="1282"/>
      <c r="AH48" s="1282"/>
      <c r="AI48" s="1282"/>
      <c r="AJ48" s="1282"/>
      <c r="AK48" s="1282"/>
      <c r="AL48" s="1283"/>
      <c r="AM48" s="729" t="s">
        <v>414</v>
      </c>
      <c r="AO48" s="69"/>
      <c r="AP48" s="69" t="str">
        <f t="shared" si="1"/>
        <v>Группа потребителей</v>
      </c>
      <c r="AQ48" s="69"/>
      <c r="AR48" s="69"/>
      <c r="AS48" s="11">
        <v>21</v>
      </c>
    </row>
    <row r="49" spans="1:45" ht="21.95" customHeight="1">
      <c r="A49" s="731" t="s">
        <v>218</v>
      </c>
      <c r="B49" s="731" t="s">
        <v>219</v>
      </c>
      <c r="C49" s="731" t="s">
        <v>220</v>
      </c>
      <c r="D49" s="731" t="s">
        <v>221</v>
      </c>
      <c r="E49" s="1320"/>
      <c r="F49" s="1320"/>
      <c r="G49" s="1320"/>
      <c r="H49" s="1320"/>
      <c r="I49" s="1123"/>
      <c r="J49" s="1123"/>
      <c r="K49" s="1159" t="str">
        <f>J48&amp;".1"</f>
        <v>....1.1.1</v>
      </c>
      <c r="L49" s="754" t="s">
        <v>415</v>
      </c>
      <c r="P49" s="1297"/>
      <c r="Q49" s="1297"/>
      <c r="R49" s="209">
        <v>1</v>
      </c>
      <c r="S49" s="709" t="str">
        <f>$K49</f>
        <v>....1.1.1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416</v>
      </c>
      <c r="AN49" s="68" t="e">
        <f ca="1">STRCHECKDATE(V50:AL50)</f>
        <v>#NAME?</v>
      </c>
      <c r="AO49" s="69"/>
      <c r="AP49" s="69" t="str">
        <f t="shared" si="1"/>
        <v/>
      </c>
      <c r="AQ49" s="69"/>
      <c r="AR49" s="69"/>
      <c r="AS49" s="11">
        <v>21</v>
      </c>
    </row>
    <row r="50" spans="1:45" ht="1.1499999999999999" customHeight="1">
      <c r="A50" s="731" t="s">
        <v>218</v>
      </c>
      <c r="B50" s="731" t="s">
        <v>219</v>
      </c>
      <c r="C50" s="731" t="s">
        <v>220</v>
      </c>
      <c r="D50" s="731" t="s">
        <v>221</v>
      </c>
      <c r="E50" s="1320"/>
      <c r="F50" s="1320"/>
      <c r="G50" s="1320"/>
      <c r="H50" s="1320"/>
      <c r="I50" s="1123"/>
      <c r="J50" s="1123"/>
      <c r="K50" s="1159"/>
      <c r="L50" s="754"/>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31" t="s">
        <v>218</v>
      </c>
      <c r="B51" s="731" t="s">
        <v>219</v>
      </c>
      <c r="C51" s="731" t="s">
        <v>220</v>
      </c>
      <c r="D51" s="731" t="s">
        <v>221</v>
      </c>
      <c r="E51" s="1320"/>
      <c r="F51" s="1320"/>
      <c r="G51" s="1320"/>
      <c r="H51" s="1320"/>
      <c r="I51" s="1123"/>
      <c r="J51" s="1159"/>
      <c r="K51" s="731"/>
      <c r="L51" s="754"/>
      <c r="P51" s="1297"/>
      <c r="Q51" s="1297"/>
      <c r="R51" s="208"/>
      <c r="S51" s="742"/>
      <c r="T51" s="167" t="s">
        <v>417</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31" t="s">
        <v>218</v>
      </c>
      <c r="B52" s="731" t="s">
        <v>219</v>
      </c>
      <c r="C52" s="731" t="s">
        <v>220</v>
      </c>
      <c r="D52" s="731" t="s">
        <v>221</v>
      </c>
      <c r="E52" s="1320"/>
      <c r="F52" s="1320"/>
      <c r="G52" s="1320"/>
      <c r="H52" s="1320"/>
      <c r="I52" s="1159"/>
      <c r="J52" s="731"/>
      <c r="K52" s="731"/>
      <c r="L52" s="754"/>
      <c r="P52" s="1297"/>
      <c r="Q52" s="122"/>
      <c r="R52" s="208"/>
      <c r="S52" s="742"/>
      <c r="T52" s="166" t="s">
        <v>418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218</v>
      </c>
      <c r="B53" s="731" t="s">
        <v>219</v>
      </c>
      <c r="C53" s="731" t="s">
        <v>220</v>
      </c>
      <c r="D53" s="731" t="s">
        <v>221</v>
      </c>
      <c r="E53" s="1320"/>
      <c r="F53" s="1320"/>
      <c r="G53" s="1320"/>
      <c r="H53" s="1319"/>
      <c r="I53" s="731"/>
      <c r="J53" s="731"/>
      <c r="K53" s="731"/>
      <c r="L53" s="754"/>
      <c r="M53" s="342"/>
      <c r="N53" s="342"/>
      <c r="O53" s="11"/>
      <c r="P53" s="34"/>
      <c r="Q53" s="216"/>
      <c r="R53" s="207"/>
      <c r="S53" s="742"/>
      <c r="T53" s="211" t="s">
        <v>419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218</v>
      </c>
      <c r="B54" s="731" t="s">
        <v>219</v>
      </c>
      <c r="C54" s="731" t="s">
        <v>220</v>
      </c>
      <c r="D54" s="731"/>
      <c r="E54" s="1320"/>
      <c r="F54" s="1320"/>
      <c r="G54" s="1319"/>
      <c r="H54" s="731"/>
      <c r="I54" s="731"/>
      <c r="J54" s="731"/>
      <c r="K54" s="731"/>
      <c r="L54" s="754"/>
      <c r="M54" s="342"/>
      <c r="N54" s="342"/>
      <c r="O54" s="11"/>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218</v>
      </c>
      <c r="B55" s="731" t="s">
        <v>219</v>
      </c>
      <c r="C55" s="731"/>
      <c r="D55" s="731"/>
      <c r="E55" s="1320"/>
      <c r="F55" s="1319"/>
      <c r="G55" s="731"/>
      <c r="H55" s="731"/>
      <c r="I55" s="731"/>
      <c r="J55" s="731"/>
      <c r="K55" s="731"/>
      <c r="L55" s="754"/>
      <c r="M55" s="1047"/>
      <c r="N55" s="1047"/>
      <c r="O55" s="11"/>
      <c r="P55" s="104"/>
      <c r="Q55" s="755"/>
      <c r="R55" s="104"/>
      <c r="S55" s="760"/>
      <c r="T55" s="762" t="s">
        <v>421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218</v>
      </c>
      <c r="B56" s="731"/>
      <c r="C56" s="731"/>
      <c r="D56" s="731"/>
      <c r="E56" s="1319"/>
      <c r="F56" s="731"/>
      <c r="G56" s="731"/>
      <c r="H56" s="731"/>
      <c r="I56" s="731"/>
      <c r="J56" s="731"/>
      <c r="K56" s="731"/>
      <c r="L56" s="754"/>
      <c r="M56" s="1047"/>
      <c r="N56" s="1047"/>
      <c r="O56" s="11"/>
      <c r="P56" s="104"/>
      <c r="Q56" s="755"/>
      <c r="R56" s="104"/>
      <c r="S56" s="760"/>
      <c r="T56" s="762" t="s">
        <v>422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47"/>
      <c r="N57" s="1047"/>
      <c r="O57" s="11"/>
      <c r="P57" s="104"/>
      <c r="Q57" s="755"/>
      <c r="R57" s="104"/>
      <c r="S57" s="760"/>
      <c r="T57" s="762" t="s">
        <v>450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65.25" customHeight="1">
      <c r="O60" s="11"/>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62</v>
      </c>
    </row>
    <row r="61" spans="1:45" ht="14.65" customHeight="1">
      <c r="O61" s="11"/>
      <c r="AS61" s="11">
        <v>14</v>
      </c>
    </row>
    <row r="62" spans="1:45" ht="18.75" customHeight="1">
      <c r="O62" s="11"/>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11"/>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29.25" customHeight="1">
      <c r="O64" s="11"/>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402</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404</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405</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406</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407</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408</v>
      </c>
      <c r="AO5" s="69"/>
      <c r="AP5" s="69" t="str">
        <f t="shared" si="0"/>
        <v xml:space="preserve">Источник тепловой энергии  </v>
      </c>
      <c r="AQ5" s="69"/>
      <c r="AR5" s="69"/>
      <c r="AS5" s="11">
        <v>0</v>
      </c>
    </row>
    <row r="6" spans="1:45" ht="47.25" hidden="1" customHeight="1">
      <c r="A6" s="769"/>
      <c r="B6" s="769"/>
      <c r="C6" s="769"/>
      <c r="D6" s="769"/>
      <c r="E6" s="1294"/>
      <c r="F6" s="1294"/>
      <c r="G6" s="1294"/>
      <c r="H6" s="1294"/>
      <c r="I6" s="1295" t="e">
        <f>S5&amp;".1"</f>
        <v>#N/A</v>
      </c>
      <c r="J6" s="769"/>
      <c r="K6" s="769"/>
      <c r="L6" s="770" t="s">
        <v>409</v>
      </c>
      <c r="M6" s="63"/>
      <c r="P6" s="1297">
        <v>1</v>
      </c>
      <c r="Q6" s="122"/>
      <c r="R6" s="208"/>
      <c r="S6" s="709" t="e">
        <f>$I6</f>
        <v>#N/A</v>
      </c>
      <c r="T6" s="164" t="s">
        <v>410</v>
      </c>
      <c r="U6" s="171"/>
      <c r="V6" s="1281"/>
      <c r="W6" s="1282"/>
      <c r="X6" s="1282"/>
      <c r="Y6" s="1282"/>
      <c r="Z6" s="1282"/>
      <c r="AA6" s="1282"/>
      <c r="AB6" s="1282"/>
      <c r="AC6" s="1283"/>
      <c r="AD6" s="1281"/>
      <c r="AE6" s="1282"/>
      <c r="AF6" s="1282"/>
      <c r="AG6" s="1282"/>
      <c r="AH6" s="1282"/>
      <c r="AI6" s="1282"/>
      <c r="AJ6" s="1282"/>
      <c r="AK6" s="1282"/>
      <c r="AL6" s="1283"/>
      <c r="AM6" s="729" t="s">
        <v>411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4"/>
      <c r="F7" s="1294"/>
      <c r="G7" s="1294"/>
      <c r="H7" s="1294"/>
      <c r="I7" s="1296"/>
      <c r="J7" s="1295" t="e">
        <f>I6&amp;".1"</f>
        <v>#N/A</v>
      </c>
      <c r="K7" s="769"/>
      <c r="L7" s="770" t="s">
        <v>412</v>
      </c>
      <c r="M7" s="63"/>
      <c r="N7" s="63"/>
      <c r="P7" s="1297"/>
      <c r="Q7" s="1297">
        <v>1</v>
      </c>
      <c r="R7" s="209"/>
      <c r="S7" s="709" t="e">
        <f>$J7</f>
        <v>#N/A</v>
      </c>
      <c r="T7" s="165" t="s">
        <v>413</v>
      </c>
      <c r="U7" s="171"/>
      <c r="V7" s="1281"/>
      <c r="W7" s="1282"/>
      <c r="X7" s="1282"/>
      <c r="Y7" s="1282"/>
      <c r="Z7" s="1282"/>
      <c r="AA7" s="1282"/>
      <c r="AB7" s="1282"/>
      <c r="AC7" s="1283"/>
      <c r="AD7" s="1281"/>
      <c r="AE7" s="1282"/>
      <c r="AF7" s="1282"/>
      <c r="AG7" s="1282"/>
      <c r="AH7" s="1282"/>
      <c r="AI7" s="1282"/>
      <c r="AJ7" s="1282"/>
      <c r="AK7" s="1282"/>
      <c r="AL7" s="1283"/>
      <c r="AM7" s="729" t="s">
        <v>414</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415</v>
      </c>
      <c r="M8" s="63"/>
      <c r="N8" s="63"/>
      <c r="O8" s="63"/>
      <c r="P8" s="1297"/>
      <c r="Q8" s="1297"/>
      <c r="R8" s="209">
        <v>1</v>
      </c>
      <c r="S8" s="709" t="e">
        <f>$K8</f>
        <v>#N/A</v>
      </c>
      <c r="T8" s="765"/>
      <c r="U8" s="171"/>
      <c r="V8" s="191"/>
      <c r="W8" s="306"/>
      <c r="X8" s="191"/>
      <c r="Y8" s="219"/>
      <c r="Z8" s="1298"/>
      <c r="AA8" s="1169" t="s">
        <v>62</v>
      </c>
      <c r="AB8" s="1298"/>
      <c r="AC8" s="1169" t="s">
        <v>62</v>
      </c>
      <c r="AD8" s="191"/>
      <c r="AE8" s="306"/>
      <c r="AF8" s="191"/>
      <c r="AG8" s="219"/>
      <c r="AH8" s="1298"/>
      <c r="AI8" s="1169" t="s">
        <v>62</v>
      </c>
      <c r="AJ8" s="1298"/>
      <c r="AK8" s="1169" t="s">
        <v>62</v>
      </c>
      <c r="AL8" s="191"/>
      <c r="AM8" s="1316" t="s">
        <v>416</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7" t="s">
        <v>417</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4"/>
      <c r="F11" s="1294"/>
      <c r="G11" s="1294"/>
      <c r="H11" s="1294"/>
      <c r="I11" s="1295"/>
      <c r="J11" s="769"/>
      <c r="K11" s="769"/>
      <c r="L11" s="770"/>
      <c r="M11" s="63"/>
      <c r="P11" s="1297"/>
      <c r="Q11" s="122"/>
      <c r="R11" s="208"/>
      <c r="S11" s="742"/>
      <c r="T11" s="166" t="s">
        <v>418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42"/>
      <c r="T12" s="211" t="s">
        <v>419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420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421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422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423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424</v>
      </c>
      <c r="P22" s="506"/>
      <c r="Q22" s="772"/>
      <c r="R22" s="772"/>
      <c r="S22" s="426"/>
      <c r="T22" s="63" t="s">
        <v>425</v>
      </c>
      <c r="AA22" s="82" t="s">
        <v>426</v>
      </c>
      <c r="AC22" s="82" t="s">
        <v>427</v>
      </c>
      <c r="AD22" s="63" t="s">
        <v>425</v>
      </c>
      <c r="AI22" s="82" t="s">
        <v>428</v>
      </c>
      <c r="AK22" s="82" t="s">
        <v>427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28</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306</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307</v>
      </c>
      <c r="AS38" s="11">
        <v>14</v>
      </c>
    </row>
    <row r="39" spans="1:45" ht="14.65" customHeight="1">
      <c r="Q39" s="28"/>
      <c r="R39" s="28"/>
      <c r="S39" s="1306" t="s">
        <v>88</v>
      </c>
      <c r="T39" s="1254" t="s">
        <v>430</v>
      </c>
      <c r="U39" s="172"/>
      <c r="V39" s="1307" t="s">
        <v>431</v>
      </c>
      <c r="W39" s="1308"/>
      <c r="X39" s="1323"/>
      <c r="Y39" s="1323"/>
      <c r="Z39" s="1308"/>
      <c r="AA39" s="1308"/>
      <c r="AB39" s="1309"/>
      <c r="AC39" s="1310" t="s">
        <v>432</v>
      </c>
      <c r="AD39" s="1307" t="s">
        <v>431</v>
      </c>
      <c r="AE39" s="1308"/>
      <c r="AF39" s="1323"/>
      <c r="AG39" s="1323"/>
      <c r="AH39" s="1308"/>
      <c r="AI39" s="1308"/>
      <c r="AJ39" s="1309"/>
      <c r="AK39" s="1310" t="s">
        <v>433</v>
      </c>
      <c r="AL39" s="1313" t="s">
        <v>434</v>
      </c>
      <c r="AM39" s="1159"/>
      <c r="AS39" s="11">
        <v>14</v>
      </c>
    </row>
    <row r="40" spans="1:45" ht="24" customHeight="1">
      <c r="Q40" s="28"/>
      <c r="R40" s="28"/>
      <c r="S40" s="1306"/>
      <c r="T40" s="1254"/>
      <c r="U40" s="607"/>
      <c r="V40" s="1321" t="s">
        <v>435</v>
      </c>
      <c r="W40" s="1225" t="s">
        <v>436</v>
      </c>
      <c r="X40" s="317" t="s">
        <v>437</v>
      </c>
      <c r="Y40" s="317"/>
      <c r="Z40" s="1146" t="s">
        <v>438</v>
      </c>
      <c r="AA40" s="1146"/>
      <c r="AB40" s="1"/>
      <c r="AC40" s="1311"/>
      <c r="AD40" s="1321" t="s">
        <v>435</v>
      </c>
      <c r="AE40" s="1225" t="s">
        <v>436</v>
      </c>
      <c r="AF40" s="317" t="s">
        <v>437</v>
      </c>
      <c r="AG40" s="317"/>
      <c r="AH40" s="1146" t="s">
        <v>438</v>
      </c>
      <c r="AI40" s="1146"/>
      <c r="AJ40" s="1"/>
      <c r="AK40" s="1311"/>
      <c r="AL40" s="1314"/>
      <c r="AM40" s="1159"/>
      <c r="AS40" s="11">
        <v>23</v>
      </c>
    </row>
    <row r="41" spans="1:45" s="17" customFormat="1" ht="24" customHeight="1">
      <c r="A41" s="82"/>
      <c r="B41" s="82" t="s">
        <v>143</v>
      </c>
      <c r="C41" s="82" t="s">
        <v>144</v>
      </c>
      <c r="D41" s="82" t="s">
        <v>145</v>
      </c>
      <c r="E41" s="770" t="s">
        <v>439</v>
      </c>
      <c r="F41" s="770" t="s">
        <v>440</v>
      </c>
      <c r="G41" s="770" t="s">
        <v>441</v>
      </c>
      <c r="H41" s="770" t="s">
        <v>442</v>
      </c>
      <c r="I41" s="770" t="s">
        <v>443</v>
      </c>
      <c r="J41" s="770" t="s">
        <v>444</v>
      </c>
      <c r="K41" s="770" t="s">
        <v>445</v>
      </c>
      <c r="L41" s="770" t="s">
        <v>424</v>
      </c>
      <c r="M41" s="506"/>
      <c r="N41" s="506"/>
      <c r="O41" s="506"/>
      <c r="P41" s="33"/>
      <c r="Q41" s="28"/>
      <c r="R41" s="28"/>
      <c r="S41" s="1306"/>
      <c r="T41" s="1254"/>
      <c r="U41" s="173"/>
      <c r="V41" s="1322"/>
      <c r="W41" s="1230"/>
      <c r="X41" s="316" t="s">
        <v>446</v>
      </c>
      <c r="Y41" s="316" t="s">
        <v>447</v>
      </c>
      <c r="Z41" s="763" t="s">
        <v>448</v>
      </c>
      <c r="AA41" s="1259" t="s">
        <v>449</v>
      </c>
      <c r="AB41" s="1273"/>
      <c r="AC41" s="1312"/>
      <c r="AD41" s="1322"/>
      <c r="AE41" s="1230"/>
      <c r="AF41" s="316" t="s">
        <v>446</v>
      </c>
      <c r="AG41" s="316" t="s">
        <v>447</v>
      </c>
      <c r="AH41" s="763" t="s">
        <v>448</v>
      </c>
      <c r="AI41" s="1259" t="s">
        <v>449</v>
      </c>
      <c r="AJ41" s="1273"/>
      <c r="AK41" s="1312"/>
      <c r="AL41" s="1315"/>
      <c r="AM41" s="1159"/>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286">
        <f ca="1">OFFSET(X42,0,-1)+1</f>
        <v>1</v>
      </c>
      <c r="Y42" s="286">
        <f ca="1">OFFSET(Y42,0,-1)+1</f>
        <v>2</v>
      </c>
      <c r="Z42" s="727">
        <f ca="1">OFFSET(Z42,0,-1)+1</f>
        <v>3</v>
      </c>
      <c r="AA42" s="1304">
        <f ca="1">OFFSET(AA42,0,-1)+1</f>
        <v>4</v>
      </c>
      <c r="AB42" s="1304"/>
      <c r="AC42" s="727">
        <f ca="1">OFFSET(AC42,0,-2)+1</f>
        <v>5</v>
      </c>
      <c r="AD42" s="727">
        <f ca="1">OFFSET(AD42,0,-1)+1</f>
        <v>6</v>
      </c>
      <c r="AE42" s="727"/>
      <c r="AF42" s="286">
        <f ca="1">OFFSET(AF42,0,-1)+1</f>
        <v>1</v>
      </c>
      <c r="AG42" s="286">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200</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131</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200</v>
      </c>
      <c r="B44" s="769" t="s">
        <v>201</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403</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404</v>
      </c>
      <c r="AO44" s="69"/>
      <c r="AP44" s="69" t="str">
        <f t="shared" si="1"/>
        <v>Территория действия тарифа</v>
      </c>
      <c r="AQ44" s="69"/>
      <c r="AR44" s="69"/>
      <c r="AS44" s="11">
        <v>21</v>
      </c>
    </row>
    <row r="45" spans="1:45" ht="24" customHeight="1">
      <c r="A45" s="769" t="s">
        <v>200</v>
      </c>
      <c r="B45" s="769" t="s">
        <v>201</v>
      </c>
      <c r="C45" s="769" t="s">
        <v>202</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405</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406</v>
      </c>
      <c r="AO45" s="69"/>
      <c r="AP45" s="69" t="str">
        <f t="shared" si="1"/>
        <v xml:space="preserve">Наименование системы теплоснабжения </v>
      </c>
      <c r="AQ45" s="69"/>
      <c r="AR45" s="69"/>
      <c r="AS45" s="11">
        <v>23</v>
      </c>
    </row>
    <row r="46" spans="1:45" ht="21.95" customHeight="1">
      <c r="A46" s="769" t="s">
        <v>200</v>
      </c>
      <c r="B46" s="769" t="s">
        <v>201</v>
      </c>
      <c r="C46" s="769" t="s">
        <v>202</v>
      </c>
      <c r="D46" s="769" t="s">
        <v>203</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407</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408</v>
      </c>
      <c r="AO46" s="69"/>
      <c r="AP46" s="69" t="str">
        <f t="shared" si="1"/>
        <v xml:space="preserve">Источник тепловой энергии  </v>
      </c>
      <c r="AQ46" s="69"/>
      <c r="AR46" s="69"/>
      <c r="AS46" s="11">
        <v>21</v>
      </c>
    </row>
    <row r="47" spans="1:45" ht="49.5" customHeight="1">
      <c r="A47" s="769" t="s">
        <v>200</v>
      </c>
      <c r="B47" s="769" t="s">
        <v>201</v>
      </c>
      <c r="C47" s="769" t="s">
        <v>202</v>
      </c>
      <c r="D47" s="769" t="s">
        <v>203</v>
      </c>
      <c r="E47" s="1294"/>
      <c r="F47" s="1294"/>
      <c r="G47" s="1294"/>
      <c r="H47" s="1294"/>
      <c r="I47" s="1295" t="str">
        <f>S46&amp;".1"</f>
        <v>....1</v>
      </c>
      <c r="J47" s="769"/>
      <c r="K47" s="769"/>
      <c r="L47" s="770" t="s">
        <v>409</v>
      </c>
      <c r="P47" s="1297">
        <v>1</v>
      </c>
      <c r="Q47" s="122"/>
      <c r="R47" s="208"/>
      <c r="S47" s="709" t="str">
        <f>$I47</f>
        <v>....1</v>
      </c>
      <c r="T47" s="164" t="s">
        <v>410</v>
      </c>
      <c r="U47" s="171"/>
      <c r="V47" s="1281"/>
      <c r="W47" s="1282"/>
      <c r="X47" s="1282"/>
      <c r="Y47" s="1282"/>
      <c r="Z47" s="1282"/>
      <c r="AA47" s="1282"/>
      <c r="AB47" s="1282"/>
      <c r="AC47" s="1283"/>
      <c r="AD47" s="1281"/>
      <c r="AE47" s="1282"/>
      <c r="AF47" s="1282"/>
      <c r="AG47" s="1282"/>
      <c r="AH47" s="1282"/>
      <c r="AI47" s="1282"/>
      <c r="AJ47" s="1282"/>
      <c r="AK47" s="1282"/>
      <c r="AL47" s="1283"/>
      <c r="AM47" s="729" t="s">
        <v>411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200</v>
      </c>
      <c r="B48" s="769" t="s">
        <v>201</v>
      </c>
      <c r="C48" s="769" t="s">
        <v>202</v>
      </c>
      <c r="D48" s="769" t="s">
        <v>203</v>
      </c>
      <c r="E48" s="1294"/>
      <c r="F48" s="1294"/>
      <c r="G48" s="1294"/>
      <c r="H48" s="1294"/>
      <c r="I48" s="1296"/>
      <c r="J48" s="1295" t="str">
        <f>I47&amp;".1"</f>
        <v>....1.1</v>
      </c>
      <c r="K48" s="769"/>
      <c r="L48" s="770" t="s">
        <v>412</v>
      </c>
      <c r="P48" s="1297"/>
      <c r="Q48" s="1297">
        <v>1</v>
      </c>
      <c r="R48" s="209"/>
      <c r="S48" s="709" t="str">
        <f>$J48</f>
        <v>....1.1</v>
      </c>
      <c r="T48" s="165" t="s">
        <v>413</v>
      </c>
      <c r="U48" s="171"/>
      <c r="V48" s="1281"/>
      <c r="W48" s="1282"/>
      <c r="X48" s="1282"/>
      <c r="Y48" s="1282"/>
      <c r="Z48" s="1282"/>
      <c r="AA48" s="1282"/>
      <c r="AB48" s="1282"/>
      <c r="AC48" s="1283"/>
      <c r="AD48" s="1281"/>
      <c r="AE48" s="1282"/>
      <c r="AF48" s="1282"/>
      <c r="AG48" s="1282"/>
      <c r="AH48" s="1282"/>
      <c r="AI48" s="1282"/>
      <c r="AJ48" s="1282"/>
      <c r="AK48" s="1282"/>
      <c r="AL48" s="1283"/>
      <c r="AM48" s="729" t="s">
        <v>414</v>
      </c>
      <c r="AO48" s="69"/>
      <c r="AP48" s="69" t="str">
        <f t="shared" si="1"/>
        <v>Группа потребителей</v>
      </c>
      <c r="AQ48" s="69"/>
      <c r="AR48" s="69"/>
      <c r="AS48" s="11">
        <v>21</v>
      </c>
    </row>
    <row r="49" spans="1:45" ht="21.95" customHeight="1">
      <c r="A49" s="769" t="s">
        <v>200</v>
      </c>
      <c r="B49" s="769" t="s">
        <v>201</v>
      </c>
      <c r="C49" s="769" t="s">
        <v>202</v>
      </c>
      <c r="D49" s="769" t="s">
        <v>203</v>
      </c>
      <c r="E49" s="1294"/>
      <c r="F49" s="1294"/>
      <c r="G49" s="1294"/>
      <c r="H49" s="1294"/>
      <c r="I49" s="1296"/>
      <c r="J49" s="1296"/>
      <c r="K49" s="1295" t="str">
        <f>J48&amp;".1"</f>
        <v>....1.1.1</v>
      </c>
      <c r="L49" s="770" t="s">
        <v>415</v>
      </c>
      <c r="P49" s="1297"/>
      <c r="Q49" s="1297"/>
      <c r="R49" s="209">
        <v>1</v>
      </c>
      <c r="S49" s="709" t="str">
        <f>$K49</f>
        <v>....1.1.1</v>
      </c>
      <c r="T49" s="765"/>
      <c r="U49" s="171"/>
      <c r="V49" s="191"/>
      <c r="W49" s="306"/>
      <c r="X49" s="191"/>
      <c r="Y49" s="219"/>
      <c r="Z49" s="1298"/>
      <c r="AA49" s="1169" t="s">
        <v>62</v>
      </c>
      <c r="AB49" s="1298"/>
      <c r="AC49" s="1169" t="s">
        <v>62</v>
      </c>
      <c r="AD49" s="191"/>
      <c r="AE49" s="306"/>
      <c r="AF49" s="191"/>
      <c r="AG49" s="219"/>
      <c r="AH49" s="1298"/>
      <c r="AI49" s="1169" t="s">
        <v>62</v>
      </c>
      <c r="AJ49" s="1300"/>
      <c r="AK49" s="1169" t="s">
        <v>62</v>
      </c>
      <c r="AL49" s="766"/>
      <c r="AM49" s="1316" t="s">
        <v>416</v>
      </c>
      <c r="AN49" s="68" t="e">
        <f ca="1">STRCHECKDATE(V50:AL50)</f>
        <v>#NAME?</v>
      </c>
      <c r="AO49" s="69"/>
      <c r="AP49" s="69" t="str">
        <f t="shared" si="1"/>
        <v/>
      </c>
      <c r="AQ49" s="69"/>
      <c r="AR49" s="69"/>
      <c r="AS49" s="11">
        <v>21</v>
      </c>
    </row>
    <row r="50" spans="1:45" ht="1.1499999999999999" customHeight="1">
      <c r="A50" s="769" t="s">
        <v>200</v>
      </c>
      <c r="B50" s="769" t="s">
        <v>201</v>
      </c>
      <c r="C50" s="769" t="s">
        <v>202</v>
      </c>
      <c r="D50" s="769" t="s">
        <v>203</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200</v>
      </c>
      <c r="B51" s="769" t="s">
        <v>201</v>
      </c>
      <c r="C51" s="769" t="s">
        <v>202</v>
      </c>
      <c r="D51" s="769" t="s">
        <v>203</v>
      </c>
      <c r="E51" s="1294"/>
      <c r="F51" s="1294"/>
      <c r="G51" s="1294"/>
      <c r="H51" s="1294"/>
      <c r="I51" s="1296"/>
      <c r="J51" s="1295"/>
      <c r="K51" s="769"/>
      <c r="L51" s="770"/>
      <c r="P51" s="1297"/>
      <c r="Q51" s="1297"/>
      <c r="R51" s="208"/>
      <c r="S51" s="742"/>
      <c r="T51" s="167" t="s">
        <v>417</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200</v>
      </c>
      <c r="B52" s="769" t="s">
        <v>201</v>
      </c>
      <c r="C52" s="769" t="s">
        <v>202</v>
      </c>
      <c r="D52" s="769" t="s">
        <v>203</v>
      </c>
      <c r="E52" s="1294"/>
      <c r="F52" s="1294"/>
      <c r="G52" s="1294"/>
      <c r="H52" s="1294"/>
      <c r="I52" s="1295"/>
      <c r="J52" s="769"/>
      <c r="K52" s="769"/>
      <c r="L52" s="770"/>
      <c r="P52" s="1297"/>
      <c r="Q52" s="122"/>
      <c r="R52" s="208"/>
      <c r="S52" s="742"/>
      <c r="T52" s="166" t="s">
        <v>418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200</v>
      </c>
      <c r="B53" s="769" t="s">
        <v>201</v>
      </c>
      <c r="C53" s="769" t="s">
        <v>202</v>
      </c>
      <c r="D53" s="769" t="s">
        <v>203</v>
      </c>
      <c r="E53" s="1294"/>
      <c r="F53" s="1294"/>
      <c r="G53" s="1294"/>
      <c r="H53" s="1293"/>
      <c r="I53" s="769"/>
      <c r="J53" s="769"/>
      <c r="K53" s="769"/>
      <c r="L53" s="770"/>
      <c r="M53" s="426"/>
      <c r="N53" s="426"/>
      <c r="O53" s="63"/>
      <c r="P53" s="34"/>
      <c r="Q53" s="216"/>
      <c r="R53" s="207"/>
      <c r="S53" s="742"/>
      <c r="T53" s="211" t="s">
        <v>419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200</v>
      </c>
      <c r="B54" s="145" t="s">
        <v>201</v>
      </c>
      <c r="C54" s="145" t="s">
        <v>202</v>
      </c>
      <c r="D54" s="145"/>
      <c r="E54" s="1294"/>
      <c r="F54" s="1294"/>
      <c r="G54" s="1293"/>
      <c r="H54" s="145"/>
      <c r="I54" s="145"/>
      <c r="J54" s="145"/>
      <c r="K54" s="145"/>
      <c r="L54" s="346"/>
      <c r="M54" s="293"/>
      <c r="N54" s="293"/>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200</v>
      </c>
      <c r="B55" s="145" t="s">
        <v>201</v>
      </c>
      <c r="C55" s="145"/>
      <c r="D55" s="145"/>
      <c r="E55" s="1294"/>
      <c r="F55" s="1293"/>
      <c r="G55" s="145"/>
      <c r="H55" s="145"/>
      <c r="I55" s="145"/>
      <c r="J55" s="145"/>
      <c r="K55" s="145"/>
      <c r="L55" s="346"/>
      <c r="M55" s="759"/>
      <c r="N55" s="759"/>
      <c r="P55" s="104"/>
      <c r="Q55" s="755"/>
      <c r="R55" s="104"/>
      <c r="S55" s="760"/>
      <c r="T55" s="762" t="s">
        <v>421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200</v>
      </c>
      <c r="B56" s="145"/>
      <c r="C56" s="145"/>
      <c r="D56" s="145"/>
      <c r="E56" s="1293"/>
      <c r="F56" s="145"/>
      <c r="G56" s="145"/>
      <c r="H56" s="145"/>
      <c r="I56" s="145"/>
      <c r="J56" s="145"/>
      <c r="K56" s="145"/>
      <c r="L56" s="346"/>
      <c r="M56" s="759"/>
      <c r="N56" s="759"/>
      <c r="P56" s="104"/>
      <c r="Q56" s="755"/>
      <c r="R56" s="104"/>
      <c r="S56" s="760"/>
      <c r="T56" s="762" t="s">
        <v>422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78.75"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75</v>
      </c>
    </row>
    <row r="61" spans="1:45" ht="14.65" customHeight="1">
      <c r="O61" s="63"/>
      <c r="AS61" s="11">
        <v>14</v>
      </c>
    </row>
    <row r="62" spans="1:45" ht="18.75" customHeight="1">
      <c r="O62" s="63"/>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63"/>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39.75" customHeight="1">
      <c r="O64" s="63"/>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402</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404</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405</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406</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407</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408</v>
      </c>
      <c r="AO5" s="69"/>
      <c r="AP5" s="69" t="str">
        <f t="shared" si="0"/>
        <v xml:space="preserve">Источник тепловой энергии  </v>
      </c>
      <c r="AQ5" s="69"/>
      <c r="AR5" s="69"/>
      <c r="AS5" s="11">
        <v>0</v>
      </c>
    </row>
    <row r="6" spans="1:45" ht="14.25" hidden="1" customHeight="1">
      <c r="A6" s="769"/>
      <c r="B6" s="769"/>
      <c r="C6" s="769"/>
      <c r="D6" s="769"/>
      <c r="E6" s="1294"/>
      <c r="F6" s="1294"/>
      <c r="G6" s="1294"/>
      <c r="H6" s="1294"/>
      <c r="I6" s="1295" t="e">
        <f>S5&amp;".1"</f>
        <v>#N/A</v>
      </c>
      <c r="J6" s="769"/>
      <c r="K6" s="769"/>
      <c r="L6" s="770" t="s">
        <v>409</v>
      </c>
      <c r="M6" s="63"/>
      <c r="P6" s="1297">
        <v>1</v>
      </c>
      <c r="Q6" s="122"/>
      <c r="R6" s="208"/>
      <c r="S6" s="362"/>
      <c r="T6" s="779"/>
      <c r="U6" s="780"/>
      <c r="V6" s="1324"/>
      <c r="W6" s="1325"/>
      <c r="X6" s="1325"/>
      <c r="Y6" s="1325"/>
      <c r="Z6" s="1325"/>
      <c r="AA6" s="1325"/>
      <c r="AB6" s="1325"/>
      <c r="AC6" s="1326"/>
      <c r="AD6" s="1324"/>
      <c r="AE6" s="1325"/>
      <c r="AF6" s="1325"/>
      <c r="AG6" s="1325"/>
      <c r="AH6" s="1325"/>
      <c r="AI6" s="1325"/>
      <c r="AJ6" s="1325"/>
      <c r="AK6" s="1325"/>
      <c r="AL6" s="1326"/>
      <c r="AM6" s="781"/>
      <c r="AO6" s="69"/>
      <c r="AP6" s="69" t="str">
        <f t="shared" si="0"/>
        <v/>
      </c>
      <c r="AQ6" s="69"/>
      <c r="AR6" s="69"/>
      <c r="AS6" s="11">
        <v>0</v>
      </c>
    </row>
    <row r="7" spans="1:45" ht="21" hidden="1" customHeight="1">
      <c r="A7" s="769"/>
      <c r="B7" s="769"/>
      <c r="C7" s="769"/>
      <c r="D7" s="769"/>
      <c r="E7" s="1294"/>
      <c r="F7" s="1294"/>
      <c r="G7" s="1294"/>
      <c r="H7" s="1294"/>
      <c r="I7" s="1296"/>
      <c r="J7" s="1295" t="e">
        <f>I6&amp;".1"</f>
        <v>#N/A</v>
      </c>
      <c r="K7" s="769"/>
      <c r="L7" s="770" t="s">
        <v>412</v>
      </c>
      <c r="M7" s="63"/>
      <c r="N7" s="63"/>
      <c r="P7" s="1297"/>
      <c r="Q7" s="1297">
        <v>1</v>
      </c>
      <c r="R7" s="209"/>
      <c r="S7" s="709" t="e">
        <f>$J7</f>
        <v>#N/A</v>
      </c>
      <c r="T7" s="165" t="s">
        <v>413</v>
      </c>
      <c r="U7" s="171"/>
      <c r="V7" s="1281"/>
      <c r="W7" s="1282"/>
      <c r="X7" s="1282"/>
      <c r="Y7" s="1282"/>
      <c r="Z7" s="1282"/>
      <c r="AA7" s="1282"/>
      <c r="AB7" s="1282"/>
      <c r="AC7" s="1283"/>
      <c r="AD7" s="1281"/>
      <c r="AE7" s="1282"/>
      <c r="AF7" s="1282"/>
      <c r="AG7" s="1282"/>
      <c r="AH7" s="1282"/>
      <c r="AI7" s="1282"/>
      <c r="AJ7" s="1282"/>
      <c r="AK7" s="1282"/>
      <c r="AL7" s="1283"/>
      <c r="AM7" s="729" t="s">
        <v>414</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415</v>
      </c>
      <c r="M8" s="63"/>
      <c r="N8" s="63"/>
      <c r="O8" s="63"/>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416</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6" t="s">
        <v>417</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4"/>
      <c r="F11" s="1294"/>
      <c r="G11" s="1294"/>
      <c r="H11" s="1294"/>
      <c r="I11" s="1295"/>
      <c r="J11" s="769"/>
      <c r="K11" s="769"/>
      <c r="L11" s="770"/>
      <c r="M11" s="63"/>
      <c r="P11" s="1297"/>
      <c r="Q11" s="122"/>
      <c r="R11" s="208"/>
      <c r="S11" s="742"/>
      <c r="T11" s="211" t="s">
        <v>418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420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421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422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423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424</v>
      </c>
      <c r="P22" s="506"/>
      <c r="Q22" s="772"/>
      <c r="R22" s="772"/>
      <c r="S22" s="426"/>
      <c r="T22" s="63" t="s">
        <v>425</v>
      </c>
      <c r="AA22" s="82" t="s">
        <v>426</v>
      </c>
      <c r="AC22" s="82" t="s">
        <v>427</v>
      </c>
      <c r="AD22" s="63" t="s">
        <v>425</v>
      </c>
      <c r="AI22" s="82" t="s">
        <v>428</v>
      </c>
      <c r="AK22" s="82" t="s">
        <v>427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74"/>
      <c r="U26" s="1274"/>
      <c r="V26" s="1274"/>
      <c r="W26" s="1274"/>
      <c r="X26" s="1274"/>
      <c r="Y26" s="1274"/>
      <c r="Z26" s="1274"/>
      <c r="AA26" s="1274"/>
      <c r="AB26" s="1274"/>
      <c r="AC26" s="1274"/>
      <c r="AD26" s="1274"/>
      <c r="AE26" s="1274"/>
      <c r="AF26" s="1274"/>
      <c r="AG26" s="1274"/>
      <c r="AH26" s="1274"/>
      <c r="AI26" s="1274"/>
      <c r="AJ26" s="1274"/>
      <c r="AK26" s="59"/>
      <c r="AS26" s="11">
        <v>60</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306</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307</v>
      </c>
      <c r="AS38" s="11">
        <v>14</v>
      </c>
    </row>
    <row r="39" spans="1:45" ht="14.65" customHeight="1">
      <c r="Q39" s="28"/>
      <c r="R39" s="28"/>
      <c r="S39" s="1306" t="s">
        <v>88</v>
      </c>
      <c r="T39" s="1254" t="s">
        <v>430</v>
      </c>
      <c r="U39" s="172"/>
      <c r="V39" s="1307" t="s">
        <v>431</v>
      </c>
      <c r="W39" s="1308"/>
      <c r="X39" s="1308"/>
      <c r="Y39" s="1308"/>
      <c r="Z39" s="1308"/>
      <c r="AA39" s="1308"/>
      <c r="AB39" s="1309"/>
      <c r="AC39" s="1310" t="s">
        <v>432</v>
      </c>
      <c r="AD39" s="1307" t="s">
        <v>431</v>
      </c>
      <c r="AE39" s="1308"/>
      <c r="AF39" s="1308"/>
      <c r="AG39" s="1308"/>
      <c r="AH39" s="1308"/>
      <c r="AI39" s="1308"/>
      <c r="AJ39" s="1309"/>
      <c r="AK39" s="1310" t="s">
        <v>433</v>
      </c>
      <c r="AL39" s="1313" t="s">
        <v>434</v>
      </c>
      <c r="AM39" s="1159"/>
      <c r="AS39" s="11">
        <v>14</v>
      </c>
    </row>
    <row r="40" spans="1:45" ht="35.65" customHeight="1">
      <c r="Q40" s="28"/>
      <c r="R40" s="28"/>
      <c r="S40" s="1306"/>
      <c r="T40" s="1254"/>
      <c r="U40" s="607"/>
      <c r="V40" s="1224" t="s">
        <v>452</v>
      </c>
      <c r="W40" s="1302"/>
      <c r="X40" s="1123" t="s">
        <v>437</v>
      </c>
      <c r="Y40" s="1"/>
      <c r="Z40" s="1123" t="s">
        <v>438</v>
      </c>
      <c r="AA40" s="1146"/>
      <c r="AB40" s="1"/>
      <c r="AC40" s="1311"/>
      <c r="AD40" s="1224" t="s">
        <v>452</v>
      </c>
      <c r="AE40" s="1302"/>
      <c r="AF40" s="1123" t="s">
        <v>437</v>
      </c>
      <c r="AG40" s="1"/>
      <c r="AH40" s="1123" t="s">
        <v>438</v>
      </c>
      <c r="AI40" s="1146"/>
      <c r="AJ40" s="1"/>
      <c r="AK40" s="1311"/>
      <c r="AL40" s="1314"/>
      <c r="AM40" s="1159"/>
      <c r="AS40" s="11">
        <v>34</v>
      </c>
    </row>
    <row r="41" spans="1:45" ht="35.65" customHeight="1">
      <c r="A41" s="82"/>
      <c r="B41" s="82" t="s">
        <v>143</v>
      </c>
      <c r="C41" s="82" t="s">
        <v>144</v>
      </c>
      <c r="D41" s="82" t="s">
        <v>145</v>
      </c>
      <c r="E41" s="770" t="s">
        <v>439</v>
      </c>
      <c r="F41" s="770" t="s">
        <v>440</v>
      </c>
      <c r="G41" s="770" t="s">
        <v>441</v>
      </c>
      <c r="H41" s="770" t="s">
        <v>442</v>
      </c>
      <c r="I41" s="770" t="s">
        <v>443</v>
      </c>
      <c r="J41" s="770" t="s">
        <v>444</v>
      </c>
      <c r="K41" s="770" t="s">
        <v>445</v>
      </c>
      <c r="L41" s="770" t="s">
        <v>424</v>
      </c>
      <c r="Q41" s="28"/>
      <c r="R41" s="28"/>
      <c r="S41" s="1306"/>
      <c r="T41" s="1254"/>
      <c r="U41" s="173"/>
      <c r="V41" s="1279"/>
      <c r="W41" s="1303"/>
      <c r="X41" s="39" t="s">
        <v>446</v>
      </c>
      <c r="Y41" s="39" t="s">
        <v>447</v>
      </c>
      <c r="Z41" s="39" t="s">
        <v>448</v>
      </c>
      <c r="AA41" s="1259" t="s">
        <v>449</v>
      </c>
      <c r="AB41" s="1273"/>
      <c r="AC41" s="1312"/>
      <c r="AD41" s="1279"/>
      <c r="AE41" s="1303"/>
      <c r="AF41" s="39" t="s">
        <v>446</v>
      </c>
      <c r="AG41" s="39" t="s">
        <v>447</v>
      </c>
      <c r="AH41" s="39" t="s">
        <v>448</v>
      </c>
      <c r="AI41" s="1259" t="s">
        <v>449</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176</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131</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176</v>
      </c>
      <c r="B44" s="769" t="s">
        <v>177</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403</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404</v>
      </c>
      <c r="AO44" s="69"/>
      <c r="AP44" s="69" t="str">
        <f t="shared" si="1"/>
        <v>Территория действия тарифа</v>
      </c>
      <c r="AQ44" s="69"/>
      <c r="AR44" s="69"/>
      <c r="AS44" s="11">
        <v>21</v>
      </c>
    </row>
    <row r="45" spans="1:45" ht="24" customHeight="1">
      <c r="A45" s="769" t="s">
        <v>176</v>
      </c>
      <c r="B45" s="769" t="s">
        <v>177</v>
      </c>
      <c r="C45" s="769" t="s">
        <v>178</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405</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406</v>
      </c>
      <c r="AO45" s="69"/>
      <c r="AP45" s="69" t="str">
        <f t="shared" si="1"/>
        <v xml:space="preserve">Наименование системы теплоснабжения </v>
      </c>
      <c r="AQ45" s="69"/>
      <c r="AR45" s="69"/>
      <c r="AS45" s="11">
        <v>23</v>
      </c>
    </row>
    <row r="46" spans="1:45" ht="21.95" customHeight="1">
      <c r="A46" s="769" t="s">
        <v>176</v>
      </c>
      <c r="B46" s="769" t="s">
        <v>177</v>
      </c>
      <c r="C46" s="769" t="s">
        <v>178</v>
      </c>
      <c r="D46" s="769" t="s">
        <v>179</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407</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408</v>
      </c>
      <c r="AO46" s="69"/>
      <c r="AP46" s="69" t="str">
        <f t="shared" si="1"/>
        <v xml:space="preserve">Источник тепловой энергии  </v>
      </c>
      <c r="AQ46" s="69"/>
      <c r="AR46" s="69"/>
      <c r="AS46" s="11">
        <v>21</v>
      </c>
    </row>
    <row r="47" spans="1:45" s="68" customFormat="1" ht="0" hidden="1" customHeight="1">
      <c r="A47" s="145" t="s">
        <v>176</v>
      </c>
      <c r="B47" s="145" t="s">
        <v>177</v>
      </c>
      <c r="C47" s="145" t="s">
        <v>178</v>
      </c>
      <c r="D47" s="145" t="s">
        <v>179</v>
      </c>
      <c r="E47" s="1294"/>
      <c r="F47" s="1294"/>
      <c r="G47" s="1294"/>
      <c r="H47" s="1294"/>
      <c r="I47" s="1295" t="str">
        <f>S46&amp;".1"</f>
        <v>....1</v>
      </c>
      <c r="J47" s="145"/>
      <c r="K47" s="145"/>
      <c r="L47" s="346" t="s">
        <v>409</v>
      </c>
      <c r="M47" s="290"/>
      <c r="N47" s="290"/>
      <c r="O47" s="290"/>
      <c r="P47" s="1297">
        <v>1</v>
      </c>
      <c r="Q47" s="122"/>
      <c r="R47" s="208"/>
      <c r="S47" s="362"/>
      <c r="T47" s="779"/>
      <c r="U47" s="780"/>
      <c r="V47" s="1324"/>
      <c r="W47" s="1325"/>
      <c r="X47" s="1325"/>
      <c r="Y47" s="1325"/>
      <c r="Z47" s="1325"/>
      <c r="AA47" s="1325"/>
      <c r="AB47" s="1325"/>
      <c r="AC47" s="1326"/>
      <c r="AD47" s="1324"/>
      <c r="AE47" s="1325"/>
      <c r="AF47" s="1325"/>
      <c r="AG47" s="1325"/>
      <c r="AH47" s="1325"/>
      <c r="AI47" s="1325"/>
      <c r="AJ47" s="1325"/>
      <c r="AK47" s="1325"/>
      <c r="AL47" s="1326"/>
      <c r="AM47" s="781"/>
      <c r="AO47" s="69"/>
      <c r="AP47" s="69" t="str">
        <f t="shared" si="1"/>
        <v/>
      </c>
      <c r="AQ47" s="69"/>
      <c r="AR47" s="69"/>
      <c r="AS47" s="68">
        <v>0</v>
      </c>
    </row>
    <row r="48" spans="1:45" ht="21.95" customHeight="1">
      <c r="A48" s="769" t="s">
        <v>176</v>
      </c>
      <c r="B48" s="769" t="s">
        <v>177</v>
      </c>
      <c r="C48" s="769" t="s">
        <v>178</v>
      </c>
      <c r="D48" s="769" t="s">
        <v>179</v>
      </c>
      <c r="E48" s="1294"/>
      <c r="F48" s="1294"/>
      <c r="G48" s="1294"/>
      <c r="H48" s="1294"/>
      <c r="I48" s="1296"/>
      <c r="J48" s="1295" t="str">
        <f>S46&amp;".1"</f>
        <v>....1</v>
      </c>
      <c r="K48" s="769"/>
      <c r="L48" s="770" t="s">
        <v>412</v>
      </c>
      <c r="P48" s="1297"/>
      <c r="Q48" s="1297">
        <v>1</v>
      </c>
      <c r="R48" s="209"/>
      <c r="S48" s="709" t="str">
        <f>$J48</f>
        <v>....1</v>
      </c>
      <c r="T48" s="165" t="s">
        <v>413</v>
      </c>
      <c r="U48" s="171"/>
      <c r="V48" s="1281"/>
      <c r="W48" s="1282"/>
      <c r="X48" s="1282"/>
      <c r="Y48" s="1282"/>
      <c r="Z48" s="1282"/>
      <c r="AA48" s="1282"/>
      <c r="AB48" s="1282"/>
      <c r="AC48" s="1283"/>
      <c r="AD48" s="1281"/>
      <c r="AE48" s="1282"/>
      <c r="AF48" s="1282"/>
      <c r="AG48" s="1282"/>
      <c r="AH48" s="1282"/>
      <c r="AI48" s="1282"/>
      <c r="AJ48" s="1282"/>
      <c r="AK48" s="1282"/>
      <c r="AL48" s="1283"/>
      <c r="AM48" s="729" t="s">
        <v>414</v>
      </c>
      <c r="AO48" s="69"/>
      <c r="AP48" s="69" t="str">
        <f t="shared" si="1"/>
        <v>Группа потребителей</v>
      </c>
      <c r="AQ48" s="69"/>
      <c r="AR48" s="69"/>
      <c r="AS48" s="11">
        <v>21</v>
      </c>
    </row>
    <row r="49" spans="1:45" ht="21.95" customHeight="1">
      <c r="A49" s="769" t="s">
        <v>176</v>
      </c>
      <c r="B49" s="769" t="s">
        <v>177</v>
      </c>
      <c r="C49" s="769" t="s">
        <v>178</v>
      </c>
      <c r="D49" s="769" t="s">
        <v>179</v>
      </c>
      <c r="E49" s="1294"/>
      <c r="F49" s="1294"/>
      <c r="G49" s="1294"/>
      <c r="H49" s="1294"/>
      <c r="I49" s="1296"/>
      <c r="J49" s="1296"/>
      <c r="K49" s="1295" t="str">
        <f>J48&amp;".1"</f>
        <v>....1.1</v>
      </c>
      <c r="L49" s="770" t="s">
        <v>415</v>
      </c>
      <c r="P49" s="1297"/>
      <c r="Q49" s="1297"/>
      <c r="R49" s="209">
        <v>1</v>
      </c>
      <c r="S49" s="709" t="str">
        <f>$K49</f>
        <v>....1.1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453</v>
      </c>
      <c r="AN49" s="68" t="e">
        <f ca="1">STRCHECKDATE(V50:AL50)</f>
        <v>#NAME?</v>
      </c>
      <c r="AO49" s="69"/>
      <c r="AP49" s="69" t="str">
        <f t="shared" si="1"/>
        <v/>
      </c>
      <c r="AQ49" s="69"/>
      <c r="AR49" s="69"/>
      <c r="AS49" s="11">
        <v>21</v>
      </c>
    </row>
    <row r="50" spans="1:45" ht="1.1499999999999999" customHeight="1">
      <c r="A50" s="769" t="s">
        <v>176</v>
      </c>
      <c r="B50" s="769" t="s">
        <v>177</v>
      </c>
      <c r="C50" s="769" t="s">
        <v>178</v>
      </c>
      <c r="D50" s="769" t="s">
        <v>179</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176</v>
      </c>
      <c r="B51" s="769" t="s">
        <v>177</v>
      </c>
      <c r="C51" s="769" t="s">
        <v>178</v>
      </c>
      <c r="D51" s="769" t="s">
        <v>179</v>
      </c>
      <c r="E51" s="1294"/>
      <c r="F51" s="1294"/>
      <c r="G51" s="1294"/>
      <c r="H51" s="1294"/>
      <c r="I51" s="1296"/>
      <c r="J51" s="1295"/>
      <c r="K51" s="769"/>
      <c r="L51" s="770"/>
      <c r="P51" s="1297"/>
      <c r="Q51" s="1297"/>
      <c r="R51" s="208"/>
      <c r="S51" s="742"/>
      <c r="T51" s="166" t="s">
        <v>417</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176</v>
      </c>
      <c r="B52" s="769" t="s">
        <v>177</v>
      </c>
      <c r="C52" s="769" t="s">
        <v>178</v>
      </c>
      <c r="D52" s="769" t="s">
        <v>179</v>
      </c>
      <c r="E52" s="1294"/>
      <c r="F52" s="1294"/>
      <c r="G52" s="1294"/>
      <c r="H52" s="1294"/>
      <c r="I52" s="1295"/>
      <c r="J52" s="769"/>
      <c r="K52" s="769"/>
      <c r="L52" s="770"/>
      <c r="P52" s="1297"/>
      <c r="Q52" s="122"/>
      <c r="R52" s="208"/>
      <c r="S52" s="742"/>
      <c r="T52" s="211" t="s">
        <v>418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176</v>
      </c>
      <c r="B53" s="769" t="s">
        <v>177</v>
      </c>
      <c r="C53" s="769" t="s">
        <v>178</v>
      </c>
      <c r="D53" s="769" t="s">
        <v>179</v>
      </c>
      <c r="E53" s="1294"/>
      <c r="F53" s="1294"/>
      <c r="G53" s="1294"/>
      <c r="H53" s="1293"/>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176</v>
      </c>
      <c r="B54" s="145" t="s">
        <v>177</v>
      </c>
      <c r="C54" s="145" t="s">
        <v>178</v>
      </c>
      <c r="D54" s="145"/>
      <c r="E54" s="1294"/>
      <c r="F54" s="1294"/>
      <c r="G54" s="1293"/>
      <c r="H54" s="145"/>
      <c r="I54" s="145"/>
      <c r="J54" s="145"/>
      <c r="K54" s="145"/>
      <c r="L54" s="346"/>
      <c r="M54" s="293"/>
      <c r="N54" s="293"/>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176</v>
      </c>
      <c r="B55" s="145" t="s">
        <v>177</v>
      </c>
      <c r="C55" s="145"/>
      <c r="D55" s="145"/>
      <c r="E55" s="1294"/>
      <c r="F55" s="1293"/>
      <c r="G55" s="145"/>
      <c r="H55" s="145"/>
      <c r="I55" s="145"/>
      <c r="J55" s="145"/>
      <c r="K55" s="145"/>
      <c r="L55" s="346"/>
      <c r="M55" s="759"/>
      <c r="N55" s="759"/>
      <c r="P55" s="104"/>
      <c r="Q55" s="755"/>
      <c r="R55" s="104"/>
      <c r="S55" s="760"/>
      <c r="T55" s="762" t="s">
        <v>421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176</v>
      </c>
      <c r="B56" s="145"/>
      <c r="C56" s="145"/>
      <c r="D56" s="145"/>
      <c r="E56" s="1293"/>
      <c r="F56" s="145"/>
      <c r="G56" s="145"/>
      <c r="H56" s="145"/>
      <c r="I56" s="145"/>
      <c r="J56" s="145"/>
      <c r="K56" s="145"/>
      <c r="L56" s="346"/>
      <c r="M56" s="759"/>
      <c r="N56" s="759"/>
      <c r="P56" s="104"/>
      <c r="Q56" s="755"/>
      <c r="R56" s="104"/>
      <c r="S56" s="760"/>
      <c r="T56" s="762" t="s">
        <v>422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19</v>
      </c>
    </row>
    <row r="60" spans="1:45" ht="29.25"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28</v>
      </c>
    </row>
    <row r="61" spans="1:45" ht="42" customHeight="1">
      <c r="O61" s="63"/>
      <c r="T61" s="1292"/>
      <c r="U61" s="1292"/>
      <c r="V61" s="1292"/>
      <c r="W61" s="1292"/>
      <c r="X61" s="1292"/>
      <c r="Y61" s="1292"/>
      <c r="Z61" s="1292"/>
      <c r="AA61" s="1292"/>
      <c r="AB61" s="1292"/>
      <c r="AC61" s="1292"/>
      <c r="AD61" s="1292"/>
      <c r="AE61" s="1292"/>
      <c r="AF61" s="1292"/>
      <c r="AG61" s="1292"/>
      <c r="AH61" s="1292"/>
      <c r="AI61" s="1292"/>
      <c r="AJ61" s="1292"/>
      <c r="AK61" s="1292"/>
      <c r="AL61" s="1292"/>
      <c r="AM61" s="1292"/>
      <c r="AS61" s="11">
        <v>40</v>
      </c>
    </row>
    <row r="62" spans="1:45" ht="14.65" customHeight="1">
      <c r="O62" s="63"/>
      <c r="AS62" s="11">
        <v>14</v>
      </c>
    </row>
    <row r="63" spans="1:45" ht="21" customHeight="1">
      <c r="O63" s="63"/>
      <c r="S63" s="198"/>
      <c r="T63" s="1205"/>
      <c r="U63" s="1292"/>
      <c r="V63" s="1292"/>
      <c r="W63" s="1292"/>
      <c r="X63" s="1292"/>
      <c r="Y63" s="1292"/>
      <c r="Z63" s="1292"/>
      <c r="AA63" s="1292"/>
      <c r="AB63" s="1292"/>
      <c r="AC63" s="1292"/>
      <c r="AD63" s="1292"/>
      <c r="AE63" s="1292"/>
      <c r="AF63" s="1292"/>
      <c r="AG63" s="1292"/>
      <c r="AH63" s="1292"/>
      <c r="AI63" s="1292"/>
      <c r="AJ63" s="1292"/>
      <c r="AK63" s="1292"/>
      <c r="AL63" s="1292"/>
      <c r="AM63" s="1292"/>
      <c r="AS63" s="11">
        <v>20</v>
      </c>
    </row>
    <row r="64" spans="1:45" ht="29.25" customHeight="1">
      <c r="O64" s="63"/>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35.65" customHeight="1">
      <c r="T65" s="1292"/>
      <c r="U65" s="1292"/>
      <c r="V65" s="1292"/>
      <c r="W65" s="1292"/>
      <c r="X65" s="1292"/>
      <c r="Y65" s="1292"/>
      <c r="Z65" s="1292"/>
      <c r="AA65" s="1292"/>
      <c r="AB65" s="1292"/>
      <c r="AC65" s="1292"/>
      <c r="AD65" s="1292"/>
      <c r="AE65" s="1292"/>
      <c r="AF65" s="1292"/>
      <c r="AG65" s="1292"/>
      <c r="AH65" s="1292"/>
      <c r="AI65" s="1292"/>
      <c r="AJ65" s="1292"/>
      <c r="AK65" s="1292"/>
      <c r="AL65" s="1292"/>
      <c r="AM65" s="1292"/>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08"/>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402</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404</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1042" t="e">
        <f>INDEX(PT_DIFFERENTIATION_NUM_CS,MATCH(C4,PT_DIFFERENTIATION_CS_ID,0))</f>
        <v>#N/A</v>
      </c>
      <c r="T4" s="1060" t="s">
        <v>405</v>
      </c>
      <c r="U4" s="1061"/>
      <c r="V4" s="1329"/>
      <c r="W4" s="1330"/>
      <c r="X4" s="1330"/>
      <c r="Y4" s="1330"/>
      <c r="Z4" s="1330"/>
      <c r="AA4" s="1330"/>
      <c r="AB4" s="1330"/>
      <c r="AC4" s="1331"/>
      <c r="AD4" s="1329" t="e">
        <f>INDEX(PT_DIFFERENTIATION_CS,MATCH(C4,PT_DIFFERENTIATION_CS_ID,0))</f>
        <v>#N/A</v>
      </c>
      <c r="AE4" s="1330"/>
      <c r="AF4" s="1330"/>
      <c r="AG4" s="1330"/>
      <c r="AH4" s="1330"/>
      <c r="AI4" s="1330"/>
      <c r="AJ4" s="1330"/>
      <c r="AK4" s="1330"/>
      <c r="AL4" s="1331"/>
      <c r="AM4" s="729" t="s">
        <v>406</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11"/>
      <c r="S5" s="709" t="e">
        <f>INDEX(PT_DIFFERENTIATION_NUM_IST_TE,MATCH(D5,PT_DIFFERENTIATION_IST_TE_ID,0))</f>
        <v>#N/A</v>
      </c>
      <c r="T5" s="179" t="s">
        <v>407</v>
      </c>
      <c r="U5" s="171"/>
      <c r="V5" s="1332"/>
      <c r="W5" s="1332"/>
      <c r="X5" s="1332"/>
      <c r="Y5" s="1332"/>
      <c r="Z5" s="1332"/>
      <c r="AA5" s="1332"/>
      <c r="AB5" s="1332"/>
      <c r="AC5" s="1332"/>
      <c r="AD5" s="1332" t="e">
        <f>INDEX(PT_DIFFERENTIATION_IST_TE,MATCH(D5,PT_DIFFERENTIATION_IST_TE_ID,0))</f>
        <v>#N/A</v>
      </c>
      <c r="AE5" s="1332"/>
      <c r="AF5" s="1332"/>
      <c r="AG5" s="1332"/>
      <c r="AH5" s="1332"/>
      <c r="AI5" s="1332"/>
      <c r="AJ5" s="1332"/>
      <c r="AK5" s="1332"/>
      <c r="AL5" s="1332"/>
      <c r="AM5" s="1058" t="s">
        <v>408</v>
      </c>
      <c r="AO5" s="69"/>
      <c r="AP5" s="69" t="str">
        <f t="shared" si="0"/>
        <v xml:space="preserve">Источник тепловой энергии  </v>
      </c>
      <c r="AQ5" s="69"/>
      <c r="AR5" s="69"/>
      <c r="AS5" s="11">
        <v>0</v>
      </c>
    </row>
    <row r="6" spans="1:45" ht="0.75" hidden="1" customHeight="1">
      <c r="A6" s="769"/>
      <c r="B6" s="769"/>
      <c r="C6" s="769"/>
      <c r="D6" s="769"/>
      <c r="E6" s="1294"/>
      <c r="F6" s="1294"/>
      <c r="G6" s="1294"/>
      <c r="H6" s="1294"/>
      <c r="I6" s="1295" t="e">
        <f>S5&amp;".1"</f>
        <v>#N/A</v>
      </c>
      <c r="J6" s="769"/>
      <c r="K6" s="769"/>
      <c r="L6" s="770" t="s">
        <v>409</v>
      </c>
      <c r="M6" s="63"/>
      <c r="P6" s="1297">
        <v>1</v>
      </c>
      <c r="Q6" s="122"/>
      <c r="R6" s="122"/>
      <c r="S6" s="362"/>
      <c r="T6" s="779"/>
      <c r="U6" s="780"/>
      <c r="V6" s="1333"/>
      <c r="W6" s="1333"/>
      <c r="X6" s="1333"/>
      <c r="Y6" s="1333"/>
      <c r="Z6" s="1333"/>
      <c r="AA6" s="1333"/>
      <c r="AB6" s="1333"/>
      <c r="AC6" s="1333"/>
      <c r="AD6" s="1333"/>
      <c r="AE6" s="1333"/>
      <c r="AF6" s="1333"/>
      <c r="AG6" s="1333"/>
      <c r="AH6" s="1333"/>
      <c r="AI6" s="1333"/>
      <c r="AJ6" s="1333"/>
      <c r="AK6" s="1333"/>
      <c r="AL6" s="1333"/>
      <c r="AM6" s="1059"/>
      <c r="AO6" s="69"/>
      <c r="AP6" s="69" t="str">
        <f t="shared" si="0"/>
        <v/>
      </c>
      <c r="AQ6" s="69"/>
      <c r="AR6" s="69"/>
      <c r="AS6" s="11">
        <v>0</v>
      </c>
    </row>
    <row r="7" spans="1:45" ht="84" hidden="1" customHeight="1">
      <c r="A7" s="769"/>
      <c r="B7" s="769"/>
      <c r="C7" s="769"/>
      <c r="D7" s="769"/>
      <c r="E7" s="1294"/>
      <c r="F7" s="1294"/>
      <c r="G7" s="1294"/>
      <c r="H7" s="1294"/>
      <c r="I7" s="1296"/>
      <c r="J7" s="1295" t="e">
        <f>I6&amp;".1"</f>
        <v>#N/A</v>
      </c>
      <c r="K7" s="769"/>
      <c r="L7" s="770" t="s">
        <v>412</v>
      </c>
      <c r="M7" s="63"/>
      <c r="N7" s="63"/>
      <c r="P7" s="1297"/>
      <c r="Q7" s="1297">
        <v>1</v>
      </c>
      <c r="R7" s="68"/>
      <c r="S7" s="709" t="e">
        <f>$J7</f>
        <v>#N/A</v>
      </c>
      <c r="T7" s="165" t="s">
        <v>413</v>
      </c>
      <c r="U7" s="171"/>
      <c r="V7" s="1327"/>
      <c r="W7" s="1327"/>
      <c r="X7" s="1327"/>
      <c r="Y7" s="1327"/>
      <c r="Z7" s="1327"/>
      <c r="AA7" s="1327"/>
      <c r="AB7" s="1327"/>
      <c r="AC7" s="1327"/>
      <c r="AD7" s="1327"/>
      <c r="AE7" s="1327"/>
      <c r="AF7" s="1327"/>
      <c r="AG7" s="1327"/>
      <c r="AH7" s="1327"/>
      <c r="AI7" s="1327"/>
      <c r="AJ7" s="1327"/>
      <c r="AK7" s="1327"/>
      <c r="AL7" s="1327"/>
      <c r="AM7" s="1058" t="s">
        <v>414</v>
      </c>
      <c r="AO7" s="69"/>
      <c r="AP7" s="69" t="str">
        <f t="shared" si="0"/>
        <v>Группа потребителей</v>
      </c>
      <c r="AQ7" s="69"/>
      <c r="AR7" s="69"/>
      <c r="AS7" s="11">
        <v>0</v>
      </c>
    </row>
    <row r="8" spans="1:45" ht="11.25" hidden="1" customHeight="1">
      <c r="A8" s="769"/>
      <c r="B8" s="769"/>
      <c r="C8" s="769"/>
      <c r="D8" s="769"/>
      <c r="E8" s="1294"/>
      <c r="F8" s="1294"/>
      <c r="G8" s="1294"/>
      <c r="H8" s="1294"/>
      <c r="I8" s="1296"/>
      <c r="J8" s="1296"/>
      <c r="K8" s="1295" t="e">
        <f>J7&amp;".1"</f>
        <v>#N/A</v>
      </c>
      <c r="L8" s="770" t="s">
        <v>415</v>
      </c>
      <c r="M8" s="63"/>
      <c r="N8" s="63"/>
      <c r="O8" s="63"/>
      <c r="P8" s="1297"/>
      <c r="Q8" s="1297"/>
      <c r="R8" s="209">
        <v>1</v>
      </c>
      <c r="S8" s="1057" t="e">
        <f>$K8</f>
        <v>#N/A</v>
      </c>
      <c r="T8" s="1062"/>
      <c r="U8" s="1063"/>
      <c r="V8" s="1064"/>
      <c r="W8" s="767"/>
      <c r="X8" s="1064"/>
      <c r="Y8" s="1065"/>
      <c r="Z8" s="1328"/>
      <c r="AA8" s="1174" t="s">
        <v>62</v>
      </c>
      <c r="AB8" s="1328"/>
      <c r="AC8" s="1174" t="s">
        <v>62</v>
      </c>
      <c r="AD8" s="1064"/>
      <c r="AE8" s="767"/>
      <c r="AF8" s="1064"/>
      <c r="AG8" s="1065"/>
      <c r="AH8" s="1328"/>
      <c r="AI8" s="1174" t="s">
        <v>62</v>
      </c>
      <c r="AJ8" s="1328"/>
      <c r="AK8" s="1174" t="s">
        <v>62</v>
      </c>
      <c r="AL8" s="767"/>
      <c r="AM8" s="1316" t="s">
        <v>416</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1.25" hidden="1" customHeight="1">
      <c r="A10" s="769"/>
      <c r="B10" s="769"/>
      <c r="C10" s="769"/>
      <c r="D10" s="769"/>
      <c r="E10" s="1294"/>
      <c r="F10" s="1294"/>
      <c r="G10" s="1294"/>
      <c r="H10" s="1294"/>
      <c r="I10" s="1296"/>
      <c r="J10" s="1295"/>
      <c r="K10" s="769"/>
      <c r="L10" s="770"/>
      <c r="M10" s="63"/>
      <c r="N10" s="63"/>
      <c r="P10" s="1297"/>
      <c r="Q10" s="1297"/>
      <c r="R10" s="208"/>
      <c r="S10" s="742"/>
      <c r="T10" s="166" t="s">
        <v>417</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94"/>
      <c r="F11" s="1294"/>
      <c r="G11" s="1294"/>
      <c r="H11" s="1294"/>
      <c r="I11" s="1295"/>
      <c r="J11" s="769"/>
      <c r="K11" s="769"/>
      <c r="L11" s="770"/>
      <c r="M11" s="63"/>
      <c r="P11" s="1297"/>
      <c r="Q11" s="122"/>
      <c r="R11" s="208"/>
      <c r="S11" s="742"/>
      <c r="T11" s="211" t="s">
        <v>418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94"/>
      <c r="F12" s="1294"/>
      <c r="G12" s="1294"/>
      <c r="H12" s="1293"/>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420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421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422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423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424</v>
      </c>
      <c r="P22" s="506"/>
      <c r="Q22" s="772"/>
      <c r="R22" s="772"/>
      <c r="S22" s="426"/>
      <c r="T22" s="63" t="s">
        <v>425</v>
      </c>
      <c r="AA22" s="82" t="s">
        <v>426</v>
      </c>
      <c r="AC22" s="82" t="s">
        <v>427</v>
      </c>
      <c r="AD22" s="63" t="s">
        <v>425</v>
      </c>
      <c r="AI22" s="82" t="s">
        <v>428</v>
      </c>
      <c r="AK22" s="82" t="s">
        <v>427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3"/>
      <c r="U26" s="1223"/>
      <c r="V26" s="1223"/>
      <c r="W26" s="1223"/>
      <c r="X26" s="1223"/>
      <c r="Y26" s="1223"/>
      <c r="Z26" s="1223"/>
      <c r="AA26" s="1223"/>
      <c r="AB26" s="1223"/>
      <c r="AC26" s="1223"/>
      <c r="AD26" s="1223"/>
      <c r="AE26" s="1223"/>
      <c r="AF26" s="1223"/>
      <c r="AG26" s="1223"/>
      <c r="AH26" s="1223"/>
      <c r="AI26" s="1223"/>
      <c r="AJ26" s="1223"/>
      <c r="AK26" s="59"/>
      <c r="AS26" s="11">
        <v>52</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306</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307</v>
      </c>
      <c r="AS38" s="11">
        <v>14</v>
      </c>
    </row>
    <row r="39" spans="1:45" ht="14.65" customHeight="1">
      <c r="Q39" s="28"/>
      <c r="R39" s="28"/>
      <c r="S39" s="1306" t="s">
        <v>88</v>
      </c>
      <c r="T39" s="1254" t="s">
        <v>430</v>
      </c>
      <c r="U39" s="172"/>
      <c r="V39" s="1307" t="s">
        <v>431</v>
      </c>
      <c r="W39" s="1308"/>
      <c r="X39" s="1308"/>
      <c r="Y39" s="1308"/>
      <c r="Z39" s="1308"/>
      <c r="AA39" s="1308"/>
      <c r="AB39" s="1309"/>
      <c r="AC39" s="1310" t="s">
        <v>432</v>
      </c>
      <c r="AD39" s="1307" t="s">
        <v>431</v>
      </c>
      <c r="AE39" s="1308"/>
      <c r="AF39" s="1308"/>
      <c r="AG39" s="1308"/>
      <c r="AH39" s="1308"/>
      <c r="AI39" s="1308"/>
      <c r="AJ39" s="1309"/>
      <c r="AK39" s="1310" t="s">
        <v>433</v>
      </c>
      <c r="AL39" s="1313" t="s">
        <v>434</v>
      </c>
      <c r="AM39" s="1159"/>
      <c r="AS39" s="11">
        <v>14</v>
      </c>
    </row>
    <row r="40" spans="1:45" ht="35.65" customHeight="1">
      <c r="Q40" s="28"/>
      <c r="R40" s="28"/>
      <c r="S40" s="1306"/>
      <c r="T40" s="1254"/>
      <c r="U40" s="607"/>
      <c r="V40" s="1224" t="s">
        <v>435</v>
      </c>
      <c r="W40" s="1302"/>
      <c r="X40" s="1123" t="s">
        <v>437</v>
      </c>
      <c r="Y40" s="1"/>
      <c r="Z40" s="1123" t="s">
        <v>438</v>
      </c>
      <c r="AA40" s="1146"/>
      <c r="AB40" s="1"/>
      <c r="AC40" s="1311"/>
      <c r="AD40" s="1224" t="s">
        <v>435</v>
      </c>
      <c r="AE40" s="1302"/>
      <c r="AF40" s="1123" t="s">
        <v>437</v>
      </c>
      <c r="AG40" s="1"/>
      <c r="AH40" s="1123" t="s">
        <v>438</v>
      </c>
      <c r="AI40" s="1146"/>
      <c r="AJ40" s="1"/>
      <c r="AK40" s="1311"/>
      <c r="AL40" s="1314"/>
      <c r="AM40" s="1159"/>
      <c r="AS40" s="11">
        <v>34</v>
      </c>
    </row>
    <row r="41" spans="1:45" ht="35.65" customHeight="1">
      <c r="A41" s="82"/>
      <c r="B41" s="82" t="s">
        <v>143</v>
      </c>
      <c r="C41" s="82" t="s">
        <v>144</v>
      </c>
      <c r="D41" s="82" t="s">
        <v>145</v>
      </c>
      <c r="E41" s="770" t="s">
        <v>439</v>
      </c>
      <c r="F41" s="770" t="s">
        <v>440</v>
      </c>
      <c r="G41" s="770" t="s">
        <v>441</v>
      </c>
      <c r="H41" s="770" t="s">
        <v>442</v>
      </c>
      <c r="I41" s="770" t="s">
        <v>443</v>
      </c>
      <c r="J41" s="770" t="s">
        <v>444</v>
      </c>
      <c r="K41" s="770" t="s">
        <v>445</v>
      </c>
      <c r="L41" s="770" t="s">
        <v>424</v>
      </c>
      <c r="Q41" s="28"/>
      <c r="R41" s="28"/>
      <c r="S41" s="1306"/>
      <c r="T41" s="1254"/>
      <c r="U41" s="173"/>
      <c r="V41" s="1279"/>
      <c r="W41" s="1303"/>
      <c r="X41" s="39" t="s">
        <v>446</v>
      </c>
      <c r="Y41" s="39" t="s">
        <v>447</v>
      </c>
      <c r="Z41" s="39" t="s">
        <v>448</v>
      </c>
      <c r="AA41" s="1259" t="s">
        <v>449</v>
      </c>
      <c r="AB41" s="1273"/>
      <c r="AC41" s="1312"/>
      <c r="AD41" s="1279"/>
      <c r="AE41" s="1303"/>
      <c r="AF41" s="39" t="s">
        <v>446</v>
      </c>
      <c r="AG41" s="39" t="s">
        <v>447</v>
      </c>
      <c r="AH41" s="39" t="s">
        <v>448</v>
      </c>
      <c r="AI41" s="1259" t="s">
        <v>449</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188</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131</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188</v>
      </c>
      <c r="B44" s="769" t="s">
        <v>189</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403</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404</v>
      </c>
      <c r="AO44" s="69"/>
      <c r="AP44" s="69" t="str">
        <f t="shared" si="1"/>
        <v>Территория действия тарифа</v>
      </c>
      <c r="AQ44" s="69"/>
      <c r="AR44" s="69"/>
      <c r="AS44" s="11">
        <v>21</v>
      </c>
    </row>
    <row r="45" spans="1:45" ht="24" customHeight="1">
      <c r="A45" s="769" t="s">
        <v>188</v>
      </c>
      <c r="B45" s="769" t="s">
        <v>189</v>
      </c>
      <c r="C45" s="769" t="s">
        <v>190</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405</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406</v>
      </c>
      <c r="AO45" s="69"/>
      <c r="AP45" s="69" t="str">
        <f t="shared" si="1"/>
        <v xml:space="preserve">Наименование системы теплоснабжения </v>
      </c>
      <c r="AQ45" s="69"/>
      <c r="AR45" s="69"/>
      <c r="AS45" s="11">
        <v>23</v>
      </c>
    </row>
    <row r="46" spans="1:45" ht="21.95" customHeight="1">
      <c r="A46" s="769" t="s">
        <v>188</v>
      </c>
      <c r="B46" s="769" t="s">
        <v>189</v>
      </c>
      <c r="C46" s="769" t="s">
        <v>190</v>
      </c>
      <c r="D46" s="769" t="s">
        <v>191</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407</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408</v>
      </c>
      <c r="AO46" s="69"/>
      <c r="AP46" s="69" t="str">
        <f t="shared" si="1"/>
        <v xml:space="preserve">Источник тепловой энергии  </v>
      </c>
      <c r="AQ46" s="69"/>
      <c r="AR46" s="69"/>
      <c r="AS46" s="11">
        <v>21</v>
      </c>
    </row>
    <row r="47" spans="1:45" s="68" customFormat="1" ht="0" hidden="1" customHeight="1">
      <c r="A47" s="145" t="s">
        <v>188</v>
      </c>
      <c r="B47" s="145" t="s">
        <v>189</v>
      </c>
      <c r="C47" s="145" t="s">
        <v>190</v>
      </c>
      <c r="D47" s="145" t="s">
        <v>191</v>
      </c>
      <c r="E47" s="1294"/>
      <c r="F47" s="1294"/>
      <c r="G47" s="1294"/>
      <c r="H47" s="1294"/>
      <c r="I47" s="1295" t="str">
        <f>S46&amp;".1"</f>
        <v>....1</v>
      </c>
      <c r="J47" s="145"/>
      <c r="K47" s="145"/>
      <c r="L47" s="346" t="s">
        <v>409</v>
      </c>
      <c r="M47" s="290"/>
      <c r="N47" s="290"/>
      <c r="O47" s="290"/>
      <c r="P47" s="1297">
        <v>1</v>
      </c>
      <c r="Q47" s="122"/>
      <c r="R47" s="208"/>
      <c r="S47" s="362"/>
      <c r="T47" s="779"/>
      <c r="U47" s="780"/>
      <c r="V47" s="1324"/>
      <c r="W47" s="1325"/>
      <c r="X47" s="1325"/>
      <c r="Y47" s="1325"/>
      <c r="Z47" s="1325"/>
      <c r="AA47" s="1325"/>
      <c r="AB47" s="1325"/>
      <c r="AC47" s="1326"/>
      <c r="AD47" s="1324"/>
      <c r="AE47" s="1325"/>
      <c r="AF47" s="1325"/>
      <c r="AG47" s="1325"/>
      <c r="AH47" s="1325"/>
      <c r="AI47" s="1325"/>
      <c r="AJ47" s="1325"/>
      <c r="AK47" s="1325"/>
      <c r="AL47" s="1326"/>
      <c r="AM47" s="781"/>
      <c r="AO47" s="69"/>
      <c r="AP47" s="69" t="str">
        <f t="shared" si="1"/>
        <v/>
      </c>
      <c r="AQ47" s="69"/>
      <c r="AR47" s="69"/>
      <c r="AS47" s="68">
        <v>0</v>
      </c>
    </row>
    <row r="48" spans="1:45" ht="21.95" customHeight="1">
      <c r="A48" s="769" t="s">
        <v>188</v>
      </c>
      <c r="B48" s="769" t="s">
        <v>189</v>
      </c>
      <c r="C48" s="769" t="s">
        <v>190</v>
      </c>
      <c r="D48" s="769" t="s">
        <v>191</v>
      </c>
      <c r="E48" s="1294"/>
      <c r="F48" s="1294"/>
      <c r="G48" s="1294"/>
      <c r="H48" s="1294"/>
      <c r="I48" s="1296"/>
      <c r="J48" s="1295" t="str">
        <f>S46&amp;".1"</f>
        <v>....1</v>
      </c>
      <c r="K48" s="769"/>
      <c r="L48" s="770" t="s">
        <v>412</v>
      </c>
      <c r="P48" s="1297"/>
      <c r="Q48" s="1297">
        <v>1</v>
      </c>
      <c r="R48" s="209"/>
      <c r="S48" s="709" t="str">
        <f>$J48</f>
        <v>....1</v>
      </c>
      <c r="T48" s="165" t="s">
        <v>413</v>
      </c>
      <c r="U48" s="171"/>
      <c r="V48" s="1281"/>
      <c r="W48" s="1282"/>
      <c r="X48" s="1282"/>
      <c r="Y48" s="1282"/>
      <c r="Z48" s="1282"/>
      <c r="AA48" s="1282"/>
      <c r="AB48" s="1282"/>
      <c r="AC48" s="1283"/>
      <c r="AD48" s="1281"/>
      <c r="AE48" s="1282"/>
      <c r="AF48" s="1282"/>
      <c r="AG48" s="1282"/>
      <c r="AH48" s="1282"/>
      <c r="AI48" s="1282"/>
      <c r="AJ48" s="1282"/>
      <c r="AK48" s="1282"/>
      <c r="AL48" s="1283"/>
      <c r="AM48" s="729" t="s">
        <v>414</v>
      </c>
      <c r="AO48" s="69"/>
      <c r="AP48" s="69" t="str">
        <f t="shared" si="1"/>
        <v>Группа потребителей</v>
      </c>
      <c r="AQ48" s="69"/>
      <c r="AR48" s="69"/>
      <c r="AS48" s="11">
        <v>21</v>
      </c>
    </row>
    <row r="49" spans="1:45" ht="21.95" customHeight="1">
      <c r="A49" s="769" t="s">
        <v>188</v>
      </c>
      <c r="B49" s="769" t="s">
        <v>189</v>
      </c>
      <c r="C49" s="769" t="s">
        <v>190</v>
      </c>
      <c r="D49" s="769" t="s">
        <v>191</v>
      </c>
      <c r="E49" s="1294"/>
      <c r="F49" s="1294"/>
      <c r="G49" s="1294"/>
      <c r="H49" s="1294"/>
      <c r="I49" s="1296"/>
      <c r="J49" s="1296"/>
      <c r="K49" s="1295" t="str">
        <f>J48&amp;".1"</f>
        <v>....1.1</v>
      </c>
      <c r="L49" s="770" t="s">
        <v>415</v>
      </c>
      <c r="P49" s="1297"/>
      <c r="Q49" s="1297"/>
      <c r="R49" s="209">
        <v>1</v>
      </c>
      <c r="S49" s="709" t="str">
        <f>$K49</f>
        <v>....1.1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453</v>
      </c>
      <c r="AN49" s="68" t="e">
        <f ca="1">STRCHECKDATE(V50:AL50)</f>
        <v>#NAME?</v>
      </c>
      <c r="AO49" s="69"/>
      <c r="AP49" s="69" t="str">
        <f t="shared" si="1"/>
        <v/>
      </c>
      <c r="AQ49" s="69"/>
      <c r="AR49" s="69"/>
      <c r="AS49" s="11">
        <v>21</v>
      </c>
    </row>
    <row r="50" spans="1:45" ht="1.1499999999999999" customHeight="1">
      <c r="A50" s="769" t="s">
        <v>188</v>
      </c>
      <c r="B50" s="769" t="s">
        <v>189</v>
      </c>
      <c r="C50" s="769" t="s">
        <v>190</v>
      </c>
      <c r="D50" s="769" t="s">
        <v>191</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188</v>
      </c>
      <c r="B51" s="769" t="s">
        <v>189</v>
      </c>
      <c r="C51" s="769" t="s">
        <v>190</v>
      </c>
      <c r="D51" s="769" t="s">
        <v>191</v>
      </c>
      <c r="E51" s="1294"/>
      <c r="F51" s="1294"/>
      <c r="G51" s="1294"/>
      <c r="H51" s="1294"/>
      <c r="I51" s="1296"/>
      <c r="J51" s="1295"/>
      <c r="K51" s="769"/>
      <c r="L51" s="770"/>
      <c r="P51" s="1297"/>
      <c r="Q51" s="1297"/>
      <c r="R51" s="208"/>
      <c r="S51" s="742"/>
      <c r="T51" s="166" t="s">
        <v>417</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188</v>
      </c>
      <c r="B52" s="769" t="s">
        <v>189</v>
      </c>
      <c r="C52" s="769" t="s">
        <v>190</v>
      </c>
      <c r="D52" s="769" t="s">
        <v>191</v>
      </c>
      <c r="E52" s="1294"/>
      <c r="F52" s="1294"/>
      <c r="G52" s="1294"/>
      <c r="H52" s="1294"/>
      <c r="I52" s="1295"/>
      <c r="J52" s="769"/>
      <c r="K52" s="769"/>
      <c r="L52" s="770"/>
      <c r="P52" s="1297"/>
      <c r="Q52" s="122"/>
      <c r="R52" s="208"/>
      <c r="S52" s="742"/>
      <c r="T52" s="211" t="s">
        <v>418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188</v>
      </c>
      <c r="B53" s="769" t="s">
        <v>189</v>
      </c>
      <c r="C53" s="769" t="s">
        <v>190</v>
      </c>
      <c r="D53" s="769" t="s">
        <v>191</v>
      </c>
      <c r="E53" s="1294"/>
      <c r="F53" s="1294"/>
      <c r="G53" s="1294"/>
      <c r="H53" s="1293"/>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188</v>
      </c>
      <c r="B54" s="145" t="s">
        <v>189</v>
      </c>
      <c r="C54" s="145" t="s">
        <v>190</v>
      </c>
      <c r="D54" s="145"/>
      <c r="E54" s="1294"/>
      <c r="F54" s="1294"/>
      <c r="G54" s="1293"/>
      <c r="H54" s="145"/>
      <c r="I54" s="145"/>
      <c r="J54" s="145"/>
      <c r="K54" s="145"/>
      <c r="L54" s="346"/>
      <c r="M54" s="293"/>
      <c r="N54" s="293"/>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188</v>
      </c>
      <c r="B55" s="145" t="s">
        <v>189</v>
      </c>
      <c r="C55" s="145"/>
      <c r="D55" s="145"/>
      <c r="E55" s="1294"/>
      <c r="F55" s="1293"/>
      <c r="G55" s="145"/>
      <c r="H55" s="145"/>
      <c r="I55" s="145"/>
      <c r="J55" s="145"/>
      <c r="K55" s="145"/>
      <c r="L55" s="346"/>
      <c r="M55" s="759"/>
      <c r="N55" s="759"/>
      <c r="P55" s="104"/>
      <c r="Q55" s="755"/>
      <c r="R55" s="104"/>
      <c r="S55" s="760"/>
      <c r="T55" s="762" t="s">
        <v>421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188</v>
      </c>
      <c r="B56" s="145"/>
      <c r="C56" s="145"/>
      <c r="D56" s="145"/>
      <c r="E56" s="1293"/>
      <c r="F56" s="145"/>
      <c r="G56" s="145"/>
      <c r="H56" s="145"/>
      <c r="I56" s="145"/>
      <c r="J56" s="145"/>
      <c r="K56" s="145"/>
      <c r="L56" s="346"/>
      <c r="M56" s="759"/>
      <c r="N56" s="759"/>
      <c r="P56" s="104"/>
      <c r="Q56" s="755"/>
      <c r="R56" s="104"/>
      <c r="S56" s="760"/>
      <c r="T56" s="762" t="s">
        <v>422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22</v>
      </c>
    </row>
    <row r="60" spans="1:45" ht="30.4"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29</v>
      </c>
    </row>
    <row r="61" spans="1:45" ht="42" customHeight="1">
      <c r="O61" s="63"/>
      <c r="T61" s="1292"/>
      <c r="U61" s="1292"/>
      <c r="V61" s="1292"/>
      <c r="W61" s="1292"/>
      <c r="X61" s="1292"/>
      <c r="Y61" s="1292"/>
      <c r="Z61" s="1292"/>
      <c r="AA61" s="1292"/>
      <c r="AB61" s="1292"/>
      <c r="AC61" s="1292"/>
      <c r="AD61" s="1292"/>
      <c r="AE61" s="1292"/>
      <c r="AF61" s="1292"/>
      <c r="AG61" s="1292"/>
      <c r="AH61" s="1292"/>
      <c r="AI61" s="1292"/>
      <c r="AJ61" s="1292"/>
      <c r="AK61" s="1292"/>
      <c r="AL61" s="1292"/>
      <c r="AM61" s="1292"/>
      <c r="AS61" s="11">
        <v>40</v>
      </c>
    </row>
    <row r="62" spans="1:45" ht="14.65" customHeight="1">
      <c r="O62" s="63"/>
      <c r="AS62" s="11">
        <v>14</v>
      </c>
    </row>
    <row r="63" spans="1:45" ht="21" customHeight="1">
      <c r="O63" s="63"/>
      <c r="S63" s="198"/>
      <c r="T63" s="1205"/>
      <c r="U63" s="1292"/>
      <c r="V63" s="1292"/>
      <c r="W63" s="1292"/>
      <c r="X63" s="1292"/>
      <c r="Y63" s="1292"/>
      <c r="Z63" s="1292"/>
      <c r="AA63" s="1292"/>
      <c r="AB63" s="1292"/>
      <c r="AC63" s="1292"/>
      <c r="AD63" s="1292"/>
      <c r="AE63" s="1292"/>
      <c r="AF63" s="1292"/>
      <c r="AG63" s="1292"/>
      <c r="AH63" s="1292"/>
      <c r="AI63" s="1292"/>
      <c r="AJ63" s="1292"/>
      <c r="AK63" s="1292"/>
      <c r="AL63" s="1292"/>
      <c r="AM63" s="1292"/>
      <c r="AS63" s="11">
        <v>20</v>
      </c>
    </row>
    <row r="64" spans="1:45" ht="29.25" customHeight="1">
      <c r="O64" s="63"/>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35.65" customHeight="1">
      <c r="T65" s="1292"/>
      <c r="U65" s="1292"/>
      <c r="V65" s="1292"/>
      <c r="W65" s="1292"/>
      <c r="X65" s="1292"/>
      <c r="Y65" s="1292"/>
      <c r="Z65" s="1292"/>
      <c r="AA65" s="1292"/>
      <c r="AB65" s="1292"/>
      <c r="AC65" s="1292"/>
      <c r="AD65" s="1292"/>
      <c r="AE65" s="1292"/>
      <c r="AF65" s="1292"/>
      <c r="AG65" s="1292"/>
      <c r="AH65" s="1292"/>
      <c r="AI65" s="1292"/>
      <c r="AJ65" s="1292"/>
      <c r="AK65" s="1292"/>
      <c r="AL65" s="1292"/>
      <c r="AM65" s="1292"/>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402</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404</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405</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406</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407</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408</v>
      </c>
      <c r="AO5" s="69"/>
      <c r="AP5" s="69" t="str">
        <f t="shared" si="0"/>
        <v xml:space="preserve">Источник тепловой энергии  </v>
      </c>
      <c r="AQ5" s="69"/>
      <c r="AR5" s="69"/>
      <c r="AS5" s="11">
        <v>0</v>
      </c>
    </row>
    <row r="6" spans="1:45" ht="14.25" hidden="1" customHeight="1">
      <c r="A6" s="769"/>
      <c r="B6" s="769"/>
      <c r="C6" s="769"/>
      <c r="D6" s="769"/>
      <c r="E6" s="1294"/>
      <c r="F6" s="1294"/>
      <c r="G6" s="1294"/>
      <c r="H6" s="1294"/>
      <c r="I6" s="1295" t="e">
        <f>S5&amp;".1"</f>
        <v>#N/A</v>
      </c>
      <c r="J6" s="769"/>
      <c r="K6" s="769"/>
      <c r="L6" s="770" t="s">
        <v>409</v>
      </c>
      <c r="M6" s="63"/>
      <c r="P6" s="1297">
        <v>1</v>
      </c>
      <c r="Q6" s="122"/>
      <c r="R6" s="208"/>
      <c r="S6" s="362"/>
      <c r="T6" s="779"/>
      <c r="U6" s="780"/>
      <c r="V6" s="1324"/>
      <c r="W6" s="1325"/>
      <c r="X6" s="1325"/>
      <c r="Y6" s="1325"/>
      <c r="Z6" s="1325"/>
      <c r="AA6" s="1325"/>
      <c r="AB6" s="1325"/>
      <c r="AC6" s="1326"/>
      <c r="AD6" s="1324"/>
      <c r="AE6" s="1325"/>
      <c r="AF6" s="1325"/>
      <c r="AG6" s="1325"/>
      <c r="AH6" s="1325"/>
      <c r="AI6" s="1325"/>
      <c r="AJ6" s="1325"/>
      <c r="AK6" s="1325"/>
      <c r="AL6" s="1326"/>
      <c r="AM6" s="781"/>
      <c r="AO6" s="69"/>
      <c r="AP6" s="69" t="str">
        <f t="shared" si="0"/>
        <v/>
      </c>
      <c r="AQ6" s="69"/>
      <c r="AR6" s="69"/>
      <c r="AS6" s="11">
        <v>0</v>
      </c>
    </row>
    <row r="7" spans="1:45" ht="21" hidden="1" customHeight="1">
      <c r="A7" s="769"/>
      <c r="B7" s="769"/>
      <c r="C7" s="769"/>
      <c r="D7" s="769"/>
      <c r="E7" s="1294"/>
      <c r="F7" s="1294"/>
      <c r="G7" s="1294"/>
      <c r="H7" s="1294"/>
      <c r="I7" s="1296"/>
      <c r="J7" s="1295" t="e">
        <f>I6&amp;".1"</f>
        <v>#N/A</v>
      </c>
      <c r="K7" s="769"/>
      <c r="L7" s="770" t="s">
        <v>412</v>
      </c>
      <c r="M7" s="63"/>
      <c r="N7" s="63"/>
      <c r="P7" s="1297"/>
      <c r="Q7" s="1297">
        <v>1</v>
      </c>
      <c r="R7" s="209"/>
      <c r="S7" s="709" t="e">
        <f>$J7</f>
        <v>#N/A</v>
      </c>
      <c r="T7" s="165" t="s">
        <v>413</v>
      </c>
      <c r="U7" s="171"/>
      <c r="V7" s="1281"/>
      <c r="W7" s="1282"/>
      <c r="X7" s="1282"/>
      <c r="Y7" s="1282"/>
      <c r="Z7" s="1282"/>
      <c r="AA7" s="1282"/>
      <c r="AB7" s="1282"/>
      <c r="AC7" s="1283"/>
      <c r="AD7" s="1281"/>
      <c r="AE7" s="1282"/>
      <c r="AF7" s="1282"/>
      <c r="AG7" s="1282"/>
      <c r="AH7" s="1282"/>
      <c r="AI7" s="1282"/>
      <c r="AJ7" s="1282"/>
      <c r="AK7" s="1282"/>
      <c r="AL7" s="1283"/>
      <c r="AM7" s="729" t="s">
        <v>414</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415</v>
      </c>
      <c r="M8" s="63"/>
      <c r="N8" s="63"/>
      <c r="O8" s="63"/>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416</v>
      </c>
      <c r="AN8" s="68" t="e">
        <f ca="1">STRCHECKDATE(V9:AL9)</f>
        <v>#NAME?</v>
      </c>
      <c r="AO8" s="69"/>
      <c r="AP8" s="69" t="str">
        <f t="shared" si="0"/>
        <v/>
      </c>
      <c r="AQ8" s="69"/>
      <c r="AR8" s="69"/>
      <c r="AS8" s="11">
        <v>0</v>
      </c>
    </row>
    <row r="9" spans="1:45" ht="14.2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6" t="s">
        <v>417</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94"/>
      <c r="F11" s="1294"/>
      <c r="G11" s="1294"/>
      <c r="H11" s="1294"/>
      <c r="I11" s="1295"/>
      <c r="J11" s="769"/>
      <c r="K11" s="769"/>
      <c r="L11" s="770"/>
      <c r="M11" s="63"/>
      <c r="P11" s="1297"/>
      <c r="Q11" s="122"/>
      <c r="R11" s="208"/>
      <c r="S11" s="742"/>
      <c r="T11" s="211" t="s">
        <v>418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94"/>
      <c r="F13" s="1294"/>
      <c r="G13" s="1293"/>
      <c r="H13" s="145"/>
      <c r="I13" s="145"/>
      <c r="J13" s="145"/>
      <c r="K13" s="145"/>
      <c r="L13" s="346"/>
      <c r="M13" s="293"/>
      <c r="N13" s="293"/>
      <c r="P13" s="104"/>
      <c r="Q13" s="755"/>
      <c r="R13" s="104"/>
      <c r="S13" s="756"/>
      <c r="T13" s="757" t="s">
        <v>420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94"/>
      <c r="F14" s="1293"/>
      <c r="G14" s="145"/>
      <c r="H14" s="145"/>
      <c r="I14" s="145"/>
      <c r="J14" s="145"/>
      <c r="K14" s="145"/>
      <c r="L14" s="346"/>
      <c r="M14" s="759"/>
      <c r="N14" s="759"/>
      <c r="P14" s="104"/>
      <c r="Q14" s="755"/>
      <c r="R14" s="104"/>
      <c r="S14" s="760"/>
      <c r="T14" s="761" t="s">
        <v>421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93"/>
      <c r="F15" s="145"/>
      <c r="G15" s="145"/>
      <c r="H15" s="145"/>
      <c r="I15" s="145"/>
      <c r="J15" s="145"/>
      <c r="K15" s="145"/>
      <c r="L15" s="346"/>
      <c r="M15" s="759"/>
      <c r="N15" s="759"/>
      <c r="P15" s="104"/>
      <c r="Q15" s="755"/>
      <c r="R15" s="104"/>
      <c r="S15" s="760"/>
      <c r="T15" s="762" t="s">
        <v>422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423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424</v>
      </c>
      <c r="P22" s="506"/>
      <c r="Q22" s="772"/>
      <c r="R22" s="772"/>
      <c r="S22" s="426"/>
      <c r="T22" s="63" t="s">
        <v>425</v>
      </c>
      <c r="AA22" s="82" t="s">
        <v>426</v>
      </c>
      <c r="AC22" s="82" t="s">
        <v>427</v>
      </c>
      <c r="AD22" s="63" t="s">
        <v>425</v>
      </c>
      <c r="AI22" s="82" t="s">
        <v>428</v>
      </c>
      <c r="AK22" s="82" t="s">
        <v>427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74"/>
      <c r="U26" s="1274"/>
      <c r="V26" s="1274"/>
      <c r="W26" s="1274"/>
      <c r="X26" s="1274"/>
      <c r="Y26" s="1274"/>
      <c r="Z26" s="1274"/>
      <c r="AA26" s="1274"/>
      <c r="AB26" s="1274"/>
      <c r="AC26" s="1274"/>
      <c r="AD26" s="1274"/>
      <c r="AE26" s="1274"/>
      <c r="AF26" s="1274"/>
      <c r="AG26" s="1274"/>
      <c r="AH26" s="1274"/>
      <c r="AI26" s="1274"/>
      <c r="AJ26" s="1274"/>
      <c r="AK26" s="59"/>
      <c r="AS26" s="11">
        <v>51</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306</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307</v>
      </c>
      <c r="AS38" s="11">
        <v>14</v>
      </c>
    </row>
    <row r="39" spans="1:45" ht="14.65" customHeight="1">
      <c r="Q39" s="28"/>
      <c r="R39" s="28"/>
      <c r="S39" s="1306" t="s">
        <v>88</v>
      </c>
      <c r="T39" s="1254" t="s">
        <v>430</v>
      </c>
      <c r="U39" s="172"/>
      <c r="V39" s="1307" t="s">
        <v>431</v>
      </c>
      <c r="W39" s="1308"/>
      <c r="X39" s="1308"/>
      <c r="Y39" s="1308"/>
      <c r="Z39" s="1308"/>
      <c r="AA39" s="1308"/>
      <c r="AB39" s="1309"/>
      <c r="AC39" s="1310" t="s">
        <v>432</v>
      </c>
      <c r="AD39" s="1307" t="s">
        <v>431</v>
      </c>
      <c r="AE39" s="1308"/>
      <c r="AF39" s="1308"/>
      <c r="AG39" s="1308"/>
      <c r="AH39" s="1308"/>
      <c r="AI39" s="1308"/>
      <c r="AJ39" s="1309"/>
      <c r="AK39" s="1310" t="s">
        <v>433</v>
      </c>
      <c r="AL39" s="1313" t="s">
        <v>434</v>
      </c>
      <c r="AM39" s="1159"/>
      <c r="AS39" s="11">
        <v>14</v>
      </c>
    </row>
    <row r="40" spans="1:45" ht="35.65" customHeight="1">
      <c r="Q40" s="28"/>
      <c r="R40" s="28"/>
      <c r="S40" s="1306"/>
      <c r="T40" s="1254"/>
      <c r="U40" s="607"/>
      <c r="V40" s="1224" t="s">
        <v>435</v>
      </c>
      <c r="W40" s="1302"/>
      <c r="X40" s="1123" t="s">
        <v>437</v>
      </c>
      <c r="Y40" s="1"/>
      <c r="Z40" s="1123" t="s">
        <v>438</v>
      </c>
      <c r="AA40" s="1146"/>
      <c r="AB40" s="1"/>
      <c r="AC40" s="1311"/>
      <c r="AD40" s="1224" t="s">
        <v>452</v>
      </c>
      <c r="AE40" s="1302"/>
      <c r="AF40" s="1123" t="s">
        <v>437</v>
      </c>
      <c r="AG40" s="1"/>
      <c r="AH40" s="1123" t="s">
        <v>438</v>
      </c>
      <c r="AI40" s="1146"/>
      <c r="AJ40" s="1"/>
      <c r="AK40" s="1311"/>
      <c r="AL40" s="1314"/>
      <c r="AM40" s="1159"/>
      <c r="AS40" s="11">
        <v>34</v>
      </c>
    </row>
    <row r="41" spans="1:45" ht="35.65" customHeight="1">
      <c r="A41" s="82"/>
      <c r="B41" s="82" t="s">
        <v>143</v>
      </c>
      <c r="C41" s="82" t="s">
        <v>144</v>
      </c>
      <c r="D41" s="82" t="s">
        <v>145</v>
      </c>
      <c r="E41" s="770" t="s">
        <v>439</v>
      </c>
      <c r="F41" s="770" t="s">
        <v>440</v>
      </c>
      <c r="G41" s="770" t="s">
        <v>441</v>
      </c>
      <c r="H41" s="770" t="s">
        <v>442</v>
      </c>
      <c r="I41" s="770" t="s">
        <v>443</v>
      </c>
      <c r="J41" s="770" t="s">
        <v>444</v>
      </c>
      <c r="K41" s="770" t="s">
        <v>445</v>
      </c>
      <c r="L41" s="770" t="s">
        <v>424</v>
      </c>
      <c r="Q41" s="28"/>
      <c r="R41" s="28"/>
      <c r="S41" s="1306"/>
      <c r="T41" s="1254"/>
      <c r="U41" s="173"/>
      <c r="V41" s="1279"/>
      <c r="W41" s="1303"/>
      <c r="X41" s="39" t="s">
        <v>446</v>
      </c>
      <c r="Y41" s="39" t="s">
        <v>447</v>
      </c>
      <c r="Z41" s="39" t="s">
        <v>448</v>
      </c>
      <c r="AA41" s="1259" t="s">
        <v>449</v>
      </c>
      <c r="AB41" s="1273"/>
      <c r="AC41" s="1312"/>
      <c r="AD41" s="1279"/>
      <c r="AE41" s="1303"/>
      <c r="AF41" s="39" t="s">
        <v>446</v>
      </c>
      <c r="AG41" s="39" t="s">
        <v>447</v>
      </c>
      <c r="AH41" s="39" t="s">
        <v>448</v>
      </c>
      <c r="AI41" s="1259" t="s">
        <v>449</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194</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131</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194</v>
      </c>
      <c r="B44" s="769" t="s">
        <v>195</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403</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404</v>
      </c>
      <c r="AO44" s="69"/>
      <c r="AP44" s="69" t="str">
        <f t="shared" si="1"/>
        <v>Территория действия тарифа</v>
      </c>
      <c r="AQ44" s="69"/>
      <c r="AR44" s="69"/>
      <c r="AS44" s="11">
        <v>21</v>
      </c>
    </row>
    <row r="45" spans="1:45" ht="24" customHeight="1">
      <c r="A45" s="769" t="s">
        <v>194</v>
      </c>
      <c r="B45" s="769" t="s">
        <v>195</v>
      </c>
      <c r="C45" s="769" t="s">
        <v>196</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405</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406</v>
      </c>
      <c r="AO45" s="69"/>
      <c r="AP45" s="69" t="str">
        <f t="shared" si="1"/>
        <v xml:space="preserve">Наименование системы теплоснабжения </v>
      </c>
      <c r="AQ45" s="69"/>
      <c r="AR45" s="69"/>
      <c r="AS45" s="11">
        <v>23</v>
      </c>
    </row>
    <row r="46" spans="1:45" ht="21.95" customHeight="1">
      <c r="A46" s="769" t="s">
        <v>194</v>
      </c>
      <c r="B46" s="769" t="s">
        <v>195</v>
      </c>
      <c r="C46" s="769" t="s">
        <v>196</v>
      </c>
      <c r="D46" s="769" t="s">
        <v>197</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407</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408</v>
      </c>
      <c r="AO46" s="69"/>
      <c r="AP46" s="69" t="str">
        <f t="shared" si="1"/>
        <v xml:space="preserve">Источник тепловой энергии  </v>
      </c>
      <c r="AQ46" s="69"/>
      <c r="AR46" s="69"/>
      <c r="AS46" s="11">
        <v>21</v>
      </c>
    </row>
    <row r="47" spans="1:45" s="68" customFormat="1" ht="0" hidden="1" customHeight="1">
      <c r="A47" s="145" t="s">
        <v>194</v>
      </c>
      <c r="B47" s="145" t="s">
        <v>195</v>
      </c>
      <c r="C47" s="145" t="s">
        <v>196</v>
      </c>
      <c r="D47" s="145" t="s">
        <v>197</v>
      </c>
      <c r="E47" s="1294"/>
      <c r="F47" s="1294"/>
      <c r="G47" s="1294"/>
      <c r="H47" s="1294"/>
      <c r="I47" s="1295" t="str">
        <f>S46&amp;".1"</f>
        <v>....1</v>
      </c>
      <c r="J47" s="145"/>
      <c r="K47" s="145"/>
      <c r="L47" s="346" t="s">
        <v>409</v>
      </c>
      <c r="M47" s="290"/>
      <c r="N47" s="290"/>
      <c r="O47" s="290"/>
      <c r="P47" s="1297">
        <v>1</v>
      </c>
      <c r="Q47" s="122"/>
      <c r="R47" s="208"/>
      <c r="S47" s="362"/>
      <c r="T47" s="779"/>
      <c r="U47" s="780"/>
      <c r="V47" s="1324"/>
      <c r="W47" s="1325"/>
      <c r="X47" s="1325"/>
      <c r="Y47" s="1325"/>
      <c r="Z47" s="1325"/>
      <c r="AA47" s="1325"/>
      <c r="AB47" s="1325"/>
      <c r="AC47" s="1326"/>
      <c r="AD47" s="1324"/>
      <c r="AE47" s="1325"/>
      <c r="AF47" s="1325"/>
      <c r="AG47" s="1325"/>
      <c r="AH47" s="1325"/>
      <c r="AI47" s="1325"/>
      <c r="AJ47" s="1325"/>
      <c r="AK47" s="1325"/>
      <c r="AL47" s="1326"/>
      <c r="AM47" s="781"/>
      <c r="AO47" s="69"/>
      <c r="AP47" s="69" t="str">
        <f t="shared" si="1"/>
        <v/>
      </c>
      <c r="AQ47" s="69"/>
      <c r="AR47" s="69"/>
      <c r="AS47" s="68">
        <v>0</v>
      </c>
    </row>
    <row r="48" spans="1:45" ht="21.95" customHeight="1">
      <c r="A48" s="769" t="s">
        <v>194</v>
      </c>
      <c r="B48" s="769" t="s">
        <v>195</v>
      </c>
      <c r="C48" s="769" t="s">
        <v>196</v>
      </c>
      <c r="D48" s="769" t="s">
        <v>197</v>
      </c>
      <c r="E48" s="1294"/>
      <c r="F48" s="1294"/>
      <c r="G48" s="1294"/>
      <c r="H48" s="1294"/>
      <c r="I48" s="1296"/>
      <c r="J48" s="1295" t="str">
        <f>S46&amp;".1"</f>
        <v>....1</v>
      </c>
      <c r="K48" s="769"/>
      <c r="L48" s="770" t="s">
        <v>412</v>
      </c>
      <c r="P48" s="1297"/>
      <c r="Q48" s="1297">
        <v>1</v>
      </c>
      <c r="R48" s="209"/>
      <c r="S48" s="709" t="str">
        <f>$J48</f>
        <v>....1</v>
      </c>
      <c r="T48" s="165" t="s">
        <v>413</v>
      </c>
      <c r="U48" s="171"/>
      <c r="V48" s="1281"/>
      <c r="W48" s="1282"/>
      <c r="X48" s="1282"/>
      <c r="Y48" s="1282"/>
      <c r="Z48" s="1282"/>
      <c r="AA48" s="1282"/>
      <c r="AB48" s="1282"/>
      <c r="AC48" s="1283"/>
      <c r="AD48" s="1281"/>
      <c r="AE48" s="1282"/>
      <c r="AF48" s="1282"/>
      <c r="AG48" s="1282"/>
      <c r="AH48" s="1282"/>
      <c r="AI48" s="1282"/>
      <c r="AJ48" s="1282"/>
      <c r="AK48" s="1282"/>
      <c r="AL48" s="1283"/>
      <c r="AM48" s="729" t="s">
        <v>414</v>
      </c>
      <c r="AO48" s="69"/>
      <c r="AP48" s="69" t="str">
        <f t="shared" si="1"/>
        <v>Группа потребителей</v>
      </c>
      <c r="AQ48" s="69"/>
      <c r="AR48" s="69"/>
      <c r="AS48" s="11">
        <v>21</v>
      </c>
    </row>
    <row r="49" spans="1:45" ht="21.95" customHeight="1">
      <c r="A49" s="769" t="s">
        <v>194</v>
      </c>
      <c r="B49" s="769" t="s">
        <v>195</v>
      </c>
      <c r="C49" s="769" t="s">
        <v>196</v>
      </c>
      <c r="D49" s="769" t="s">
        <v>197</v>
      </c>
      <c r="E49" s="1294"/>
      <c r="F49" s="1294"/>
      <c r="G49" s="1294"/>
      <c r="H49" s="1294"/>
      <c r="I49" s="1296"/>
      <c r="J49" s="1296"/>
      <c r="K49" s="1295" t="str">
        <f>J48&amp;".1"</f>
        <v>....1.1</v>
      </c>
      <c r="L49" s="770" t="s">
        <v>415</v>
      </c>
      <c r="P49" s="1297"/>
      <c r="Q49" s="1297"/>
      <c r="R49" s="209">
        <v>1</v>
      </c>
      <c r="S49" s="709" t="str">
        <f>$K49</f>
        <v>....1.1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453</v>
      </c>
      <c r="AN49" s="68" t="e">
        <f ca="1">STRCHECKDATE(V50:AL50)</f>
        <v>#NAME?</v>
      </c>
      <c r="AO49" s="69"/>
      <c r="AP49" s="69" t="str">
        <f t="shared" si="1"/>
        <v/>
      </c>
      <c r="AQ49" s="69"/>
      <c r="AR49" s="69"/>
      <c r="AS49" s="11">
        <v>21</v>
      </c>
    </row>
    <row r="50" spans="1:45" ht="0" hidden="1" customHeight="1">
      <c r="A50" s="769" t="s">
        <v>194</v>
      </c>
      <c r="B50" s="769" t="s">
        <v>195</v>
      </c>
      <c r="C50" s="769" t="s">
        <v>196</v>
      </c>
      <c r="D50" s="769" t="s">
        <v>197</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0</v>
      </c>
    </row>
    <row r="51" spans="1:45" ht="11.45" customHeight="1">
      <c r="A51" s="769" t="s">
        <v>194</v>
      </c>
      <c r="B51" s="769" t="s">
        <v>195</v>
      </c>
      <c r="C51" s="769" t="s">
        <v>196</v>
      </c>
      <c r="D51" s="769" t="s">
        <v>197</v>
      </c>
      <c r="E51" s="1294"/>
      <c r="F51" s="1294"/>
      <c r="G51" s="1294"/>
      <c r="H51" s="1294"/>
      <c r="I51" s="1296"/>
      <c r="J51" s="1295"/>
      <c r="K51" s="769"/>
      <c r="L51" s="770"/>
      <c r="P51" s="1297"/>
      <c r="Q51" s="1297"/>
      <c r="R51" s="208"/>
      <c r="S51" s="742"/>
      <c r="T51" s="166" t="s">
        <v>417</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194</v>
      </c>
      <c r="B52" s="769" t="s">
        <v>195</v>
      </c>
      <c r="C52" s="769" t="s">
        <v>196</v>
      </c>
      <c r="D52" s="769" t="s">
        <v>197</v>
      </c>
      <c r="E52" s="1294"/>
      <c r="F52" s="1294"/>
      <c r="G52" s="1294"/>
      <c r="H52" s="1294"/>
      <c r="I52" s="1295"/>
      <c r="J52" s="769"/>
      <c r="K52" s="769"/>
      <c r="L52" s="770"/>
      <c r="P52" s="1297"/>
      <c r="Q52" s="122"/>
      <c r="R52" s="208"/>
      <c r="S52" s="742"/>
      <c r="T52" s="211" t="s">
        <v>418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194</v>
      </c>
      <c r="B53" s="769" t="s">
        <v>195</v>
      </c>
      <c r="C53" s="769" t="s">
        <v>196</v>
      </c>
      <c r="D53" s="769" t="s">
        <v>197</v>
      </c>
      <c r="E53" s="1294"/>
      <c r="F53" s="1294"/>
      <c r="G53" s="1294"/>
      <c r="H53" s="1293"/>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194</v>
      </c>
      <c r="B54" s="145" t="s">
        <v>195</v>
      </c>
      <c r="C54" s="145" t="s">
        <v>196</v>
      </c>
      <c r="D54" s="145"/>
      <c r="E54" s="1294"/>
      <c r="F54" s="1294"/>
      <c r="G54" s="1293"/>
      <c r="H54" s="145"/>
      <c r="I54" s="145"/>
      <c r="J54" s="145"/>
      <c r="K54" s="145"/>
      <c r="L54" s="346"/>
      <c r="M54" s="293"/>
      <c r="N54" s="293"/>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194</v>
      </c>
      <c r="B55" s="145" t="s">
        <v>195</v>
      </c>
      <c r="C55" s="145"/>
      <c r="D55" s="145"/>
      <c r="E55" s="1294"/>
      <c r="F55" s="1293"/>
      <c r="G55" s="145"/>
      <c r="H55" s="145"/>
      <c r="I55" s="145"/>
      <c r="J55" s="145"/>
      <c r="K55" s="145"/>
      <c r="L55" s="346"/>
      <c r="M55" s="759"/>
      <c r="N55" s="759"/>
      <c r="P55" s="104"/>
      <c r="Q55" s="755"/>
      <c r="R55" s="104"/>
      <c r="S55" s="760"/>
      <c r="T55" s="762" t="s">
        <v>421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194</v>
      </c>
      <c r="B56" s="145"/>
      <c r="C56" s="145"/>
      <c r="D56" s="145"/>
      <c r="E56" s="1293"/>
      <c r="F56" s="145"/>
      <c r="G56" s="145"/>
      <c r="H56" s="145"/>
      <c r="I56" s="145"/>
      <c r="J56" s="145"/>
      <c r="K56" s="145"/>
      <c r="L56" s="346"/>
      <c r="M56" s="759"/>
      <c r="N56" s="759"/>
      <c r="P56" s="104"/>
      <c r="Q56" s="755"/>
      <c r="R56" s="104"/>
      <c r="S56" s="760"/>
      <c r="T56" s="762" t="s">
        <v>422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450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14</v>
      </c>
    </row>
    <row r="60" spans="1:45" ht="14.65"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14</v>
      </c>
    </row>
    <row r="61" spans="1:45" ht="14.65" customHeight="1">
      <c r="O61" s="63"/>
      <c r="T61" s="1292"/>
      <c r="U61" s="1292"/>
      <c r="V61" s="1292"/>
      <c r="W61" s="1292"/>
      <c r="X61" s="1292"/>
      <c r="Y61" s="1292"/>
      <c r="Z61" s="1292"/>
      <c r="AA61" s="1292"/>
      <c r="AB61" s="1292"/>
      <c r="AC61" s="1292"/>
      <c r="AD61" s="1292"/>
      <c r="AE61" s="1292"/>
      <c r="AF61" s="1292"/>
      <c r="AG61" s="1292"/>
      <c r="AH61" s="1292"/>
      <c r="AI61" s="1292"/>
      <c r="AJ61" s="1292"/>
      <c r="AK61" s="1292"/>
      <c r="AL61" s="1292"/>
      <c r="AM61" s="1292"/>
      <c r="AS61" s="11">
        <v>14</v>
      </c>
    </row>
    <row r="62" spans="1:45" ht="14.65" customHeight="1">
      <c r="O62" s="63"/>
      <c r="AS62" s="11">
        <v>14</v>
      </c>
    </row>
    <row r="63" spans="1:45" ht="14.65" customHeight="1">
      <c r="O63" s="63"/>
      <c r="S63" s="198"/>
      <c r="T63" s="1205"/>
      <c r="U63" s="1292"/>
      <c r="V63" s="1292"/>
      <c r="W63" s="1292"/>
      <c r="X63" s="1292"/>
      <c r="Y63" s="1292"/>
      <c r="Z63" s="1292"/>
      <c r="AA63" s="1292"/>
      <c r="AB63" s="1292"/>
      <c r="AC63" s="1292"/>
      <c r="AD63" s="1292"/>
      <c r="AE63" s="1292"/>
      <c r="AF63" s="1292"/>
      <c r="AG63" s="1292"/>
      <c r="AH63" s="1292"/>
      <c r="AI63" s="1292"/>
      <c r="AJ63" s="1292"/>
      <c r="AK63" s="1292"/>
      <c r="AL63" s="1292"/>
      <c r="AM63" s="1292"/>
      <c r="AS63" s="11">
        <v>14</v>
      </c>
    </row>
    <row r="64" spans="1:45" ht="14.65" customHeight="1">
      <c r="O64" s="63"/>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14</v>
      </c>
    </row>
    <row r="65" spans="1:45" ht="14.65" customHeight="1">
      <c r="T65" s="1292"/>
      <c r="U65" s="1292"/>
      <c r="V65" s="1292"/>
      <c r="W65" s="1292"/>
      <c r="X65" s="1292"/>
      <c r="Y65" s="1292"/>
      <c r="Z65" s="1292"/>
      <c r="AA65" s="1292"/>
      <c r="AB65" s="1292"/>
      <c r="AC65" s="1292"/>
      <c r="AD65" s="1292"/>
      <c r="AE65" s="1292"/>
      <c r="AF65" s="1292"/>
      <c r="AG65" s="1292"/>
      <c r="AH65" s="1292"/>
      <c r="AI65" s="1292"/>
      <c r="AJ65" s="1292"/>
      <c r="AK65" s="1292"/>
      <c r="AL65" s="1292"/>
      <c r="AM65" s="1292"/>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19">
        <v>1</v>
      </c>
      <c r="F2" s="731"/>
      <c r="G2" s="731"/>
      <c r="H2" s="731"/>
      <c r="I2" s="731"/>
      <c r="J2" s="731"/>
      <c r="K2" s="731"/>
      <c r="L2" s="731"/>
      <c r="M2" s="754"/>
      <c r="N2" s="342"/>
      <c r="O2" s="342"/>
      <c r="P2" s="342"/>
      <c r="R2" s="34"/>
      <c r="S2" s="34"/>
      <c r="T2" s="207"/>
      <c r="U2" s="709" t="e">
        <f>INDEX(PT_DIFFERENTIATION_NUM_NTAR,MATCH(A2,PT_DIFFERENTIATION_NTAR_ID,0))</f>
        <v>#N/A</v>
      </c>
      <c r="V2" s="67" t="s">
        <v>131</v>
      </c>
      <c r="W2" s="171"/>
      <c r="X2" s="1287"/>
      <c r="Y2" s="1288"/>
      <c r="Z2" s="1288"/>
      <c r="AA2" s="1288"/>
      <c r="AB2" s="1288"/>
      <c r="AC2" s="1288"/>
      <c r="AD2" s="1288"/>
      <c r="AE2" s="1288"/>
      <c r="AF2" s="1289"/>
      <c r="AG2" s="1287" t="e">
        <f>INDEX(PT_DIFFERENTIATION_NTAR,MATCH(A2,PT_DIFFERENTIATION_NTAR_ID,0))</f>
        <v>#N/A</v>
      </c>
      <c r="AH2" s="1288"/>
      <c r="AI2" s="1288"/>
      <c r="AJ2" s="1288"/>
      <c r="AK2" s="1288"/>
      <c r="AL2" s="1288"/>
      <c r="AM2" s="1288"/>
      <c r="AN2" s="1288"/>
      <c r="AO2" s="1288"/>
      <c r="AP2" s="1289"/>
      <c r="AQ2" s="729" t="s">
        <v>402</v>
      </c>
      <c r="AS2" s="69"/>
      <c r="AT2" s="69" t="str">
        <f t="shared" ref="AT2:AT8" si="0">IF(V2="","",V2)</f>
        <v>Наименование тарифа</v>
      </c>
      <c r="AU2" s="69"/>
      <c r="AV2" s="69"/>
      <c r="AW2" s="11">
        <v>0</v>
      </c>
    </row>
    <row r="3" spans="1:49" ht="21" hidden="1" customHeight="1">
      <c r="A3" s="731"/>
      <c r="B3" s="731"/>
      <c r="C3" s="731"/>
      <c r="D3" s="731"/>
      <c r="E3" s="1320"/>
      <c r="F3" s="1319">
        <v>1</v>
      </c>
      <c r="G3" s="731"/>
      <c r="H3" s="731"/>
      <c r="I3" s="731"/>
      <c r="J3" s="731"/>
      <c r="K3" s="731"/>
      <c r="L3" s="731"/>
      <c r="M3" s="754"/>
      <c r="N3" s="342"/>
      <c r="O3" s="342"/>
      <c r="P3" s="342"/>
      <c r="Q3" s="58"/>
      <c r="R3" s="204"/>
      <c r="S3" s="11"/>
      <c r="T3" s="205"/>
      <c r="U3" s="709" t="e">
        <f>INDEX(PT_DIFFERENTIATION_NUM_TER,MATCH(B3,PT_DIFFERENTIATION_TER_ID,0))</f>
        <v>#N/A</v>
      </c>
      <c r="V3" s="177" t="s">
        <v>403</v>
      </c>
      <c r="W3" s="171"/>
      <c r="X3" s="1287"/>
      <c r="Y3" s="1288"/>
      <c r="Z3" s="1288"/>
      <c r="AA3" s="1288"/>
      <c r="AB3" s="1288"/>
      <c r="AC3" s="1288"/>
      <c r="AD3" s="1288"/>
      <c r="AE3" s="1288"/>
      <c r="AF3" s="1289"/>
      <c r="AG3" s="1287" t="e">
        <f>INDEX(PT_DIFFERENTIATION_TER,MATCH(B3,PT_DIFFERENTIATION_TER_ID,0))</f>
        <v>#N/A</v>
      </c>
      <c r="AH3" s="1288"/>
      <c r="AI3" s="1288"/>
      <c r="AJ3" s="1288"/>
      <c r="AK3" s="1288"/>
      <c r="AL3" s="1288"/>
      <c r="AM3" s="1288"/>
      <c r="AN3" s="1288"/>
      <c r="AO3" s="1288"/>
      <c r="AP3" s="1289"/>
      <c r="AQ3" s="729" t="s">
        <v>404</v>
      </c>
      <c r="AS3" s="69"/>
      <c r="AT3" s="69" t="str">
        <f t="shared" si="0"/>
        <v>Территория действия тарифа</v>
      </c>
      <c r="AU3" s="69"/>
      <c r="AV3" s="69"/>
      <c r="AW3" s="11">
        <v>0</v>
      </c>
    </row>
    <row r="4" spans="1:49" ht="22.5" hidden="1" customHeight="1">
      <c r="A4" s="731"/>
      <c r="B4" s="731"/>
      <c r="C4" s="731"/>
      <c r="D4" s="731"/>
      <c r="E4" s="1320"/>
      <c r="F4" s="1320"/>
      <c r="G4" s="1319">
        <v>1</v>
      </c>
      <c r="H4" s="731"/>
      <c r="I4" s="731"/>
      <c r="J4" s="731"/>
      <c r="K4" s="731"/>
      <c r="L4" s="731"/>
      <c r="M4" s="754"/>
      <c r="N4" s="342"/>
      <c r="O4" s="342"/>
      <c r="P4" s="342"/>
      <c r="Q4" s="206"/>
      <c r="R4" s="204"/>
      <c r="S4" s="11"/>
      <c r="T4" s="205"/>
      <c r="U4" s="709" t="e">
        <f>INDEX(PT_DIFFERENTIATION_NUM_CS,MATCH(C4,PT_DIFFERENTIATION_CS_ID,0))</f>
        <v>#N/A</v>
      </c>
      <c r="V4" s="178" t="s">
        <v>405</v>
      </c>
      <c r="W4" s="171"/>
      <c r="X4" s="1287"/>
      <c r="Y4" s="1288"/>
      <c r="Z4" s="1288"/>
      <c r="AA4" s="1288"/>
      <c r="AB4" s="1288"/>
      <c r="AC4" s="1288"/>
      <c r="AD4" s="1288"/>
      <c r="AE4" s="1288"/>
      <c r="AF4" s="1289"/>
      <c r="AG4" s="1287" t="e">
        <f>INDEX(PT_DIFFERENTIATION_CS,MATCH(C4,PT_DIFFERENTIATION_CS_ID,0))</f>
        <v>#N/A</v>
      </c>
      <c r="AH4" s="1288"/>
      <c r="AI4" s="1288"/>
      <c r="AJ4" s="1288"/>
      <c r="AK4" s="1288"/>
      <c r="AL4" s="1288"/>
      <c r="AM4" s="1288"/>
      <c r="AN4" s="1288"/>
      <c r="AO4" s="1288"/>
      <c r="AP4" s="1289"/>
      <c r="AQ4" s="729" t="s">
        <v>406</v>
      </c>
      <c r="AS4" s="69"/>
      <c r="AT4" s="69" t="str">
        <f t="shared" si="0"/>
        <v xml:space="preserve">Наименование системы теплоснабжения </v>
      </c>
      <c r="AU4" s="69"/>
      <c r="AV4" s="69"/>
      <c r="AW4" s="11">
        <v>0</v>
      </c>
    </row>
    <row r="5" spans="1:49" ht="21" hidden="1" customHeight="1">
      <c r="A5" s="731"/>
      <c r="B5" s="731"/>
      <c r="C5" s="731"/>
      <c r="D5" s="731"/>
      <c r="E5" s="1320"/>
      <c r="F5" s="1320"/>
      <c r="G5" s="1320"/>
      <c r="H5" s="1319">
        <v>1</v>
      </c>
      <c r="I5" s="731"/>
      <c r="J5" s="731"/>
      <c r="K5" s="731"/>
      <c r="L5" s="731"/>
      <c r="M5" s="754"/>
      <c r="N5" s="342"/>
      <c r="O5" s="342"/>
      <c r="P5" s="342"/>
      <c r="Q5" s="206"/>
      <c r="R5" s="204"/>
      <c r="S5" s="11"/>
      <c r="T5" s="205"/>
      <c r="U5" s="709" t="e">
        <f>INDEX(PT_DIFFERENTIATION_NUM_IST_TE,MATCH(D5,PT_DIFFERENTIATION_IST_TE_ID,0))</f>
        <v>#N/A</v>
      </c>
      <c r="V5" s="179" t="s">
        <v>407</v>
      </c>
      <c r="W5" s="171"/>
      <c r="X5" s="1287"/>
      <c r="Y5" s="1288"/>
      <c r="Z5" s="1288"/>
      <c r="AA5" s="1288"/>
      <c r="AB5" s="1288"/>
      <c r="AC5" s="1288"/>
      <c r="AD5" s="1288"/>
      <c r="AE5" s="1288"/>
      <c r="AF5" s="1289"/>
      <c r="AG5" s="1287" t="e">
        <f>INDEX(PT_DIFFERENTIATION_IST_TE,MATCH(D5,PT_DIFFERENTIATION_IST_TE_ID,0))</f>
        <v>#N/A</v>
      </c>
      <c r="AH5" s="1288"/>
      <c r="AI5" s="1288"/>
      <c r="AJ5" s="1288"/>
      <c r="AK5" s="1288"/>
      <c r="AL5" s="1288"/>
      <c r="AM5" s="1288"/>
      <c r="AN5" s="1288"/>
      <c r="AO5" s="1288"/>
      <c r="AP5" s="1289"/>
      <c r="AQ5" s="729" t="s">
        <v>408</v>
      </c>
      <c r="AS5" s="69"/>
      <c r="AT5" s="69" t="str">
        <f t="shared" si="0"/>
        <v xml:space="preserve">Источник тепловой энергии  </v>
      </c>
      <c r="AU5" s="69"/>
      <c r="AV5" s="69"/>
      <c r="AW5" s="11">
        <v>0</v>
      </c>
    </row>
    <row r="6" spans="1:49" ht="14.25" hidden="1" customHeight="1">
      <c r="A6" s="731"/>
      <c r="B6" s="731"/>
      <c r="C6" s="731"/>
      <c r="D6" s="731"/>
      <c r="E6" s="1320"/>
      <c r="F6" s="1320"/>
      <c r="G6" s="1320"/>
      <c r="H6" s="1320"/>
      <c r="I6" s="1159" t="e">
        <f>U5&amp;".1"</f>
        <v>#N/A</v>
      </c>
      <c r="J6" s="731"/>
      <c r="K6" s="731"/>
      <c r="L6" s="731"/>
      <c r="M6" s="754" t="s">
        <v>409</v>
      </c>
      <c r="N6" s="11"/>
      <c r="Q6" s="1297">
        <v>1</v>
      </c>
      <c r="R6" s="122"/>
      <c r="S6" s="122"/>
      <c r="T6" s="208"/>
      <c r="U6" s="362"/>
      <c r="V6" s="779"/>
      <c r="W6" s="780"/>
      <c r="X6" s="1324"/>
      <c r="Y6" s="1325"/>
      <c r="Z6" s="1325"/>
      <c r="AA6" s="1325"/>
      <c r="AB6" s="1325"/>
      <c r="AC6" s="1325"/>
      <c r="AD6" s="1325"/>
      <c r="AE6" s="1325"/>
      <c r="AF6" s="1326"/>
      <c r="AG6" s="1324"/>
      <c r="AH6" s="1325"/>
      <c r="AI6" s="1325"/>
      <c r="AJ6" s="1325"/>
      <c r="AK6" s="1325"/>
      <c r="AL6" s="1325"/>
      <c r="AM6" s="1325"/>
      <c r="AN6" s="1325"/>
      <c r="AO6" s="1325"/>
      <c r="AP6" s="1326"/>
      <c r="AQ6" s="781"/>
      <c r="AS6" s="69"/>
      <c r="AT6" s="69" t="str">
        <f t="shared" si="0"/>
        <v/>
      </c>
      <c r="AU6" s="69"/>
      <c r="AV6" s="69"/>
      <c r="AW6" s="11">
        <v>0</v>
      </c>
    </row>
    <row r="7" spans="1:49" ht="21" hidden="1" customHeight="1">
      <c r="A7" s="731"/>
      <c r="B7" s="731"/>
      <c r="C7" s="731"/>
      <c r="D7" s="731"/>
      <c r="E7" s="1320"/>
      <c r="F7" s="1320"/>
      <c r="G7" s="1320"/>
      <c r="H7" s="1320"/>
      <c r="I7" s="1123"/>
      <c r="J7" s="1159" t="e">
        <f>I6&amp;".1"</f>
        <v>#N/A</v>
      </c>
      <c r="K7" s="731"/>
      <c r="L7" s="731"/>
      <c r="M7" s="754" t="s">
        <v>412</v>
      </c>
      <c r="N7" s="11"/>
      <c r="O7" s="11"/>
      <c r="Q7" s="1297"/>
      <c r="R7" s="1297">
        <v>1</v>
      </c>
      <c r="S7" s="68"/>
      <c r="T7" s="209"/>
      <c r="U7" s="709" t="e">
        <f>$J7</f>
        <v>#N/A</v>
      </c>
      <c r="V7" s="165" t="s">
        <v>413</v>
      </c>
      <c r="W7" s="171"/>
      <c r="X7" s="1281"/>
      <c r="Y7" s="1282"/>
      <c r="Z7" s="1282"/>
      <c r="AA7" s="1282"/>
      <c r="AB7" s="1282"/>
      <c r="AC7" s="1277"/>
      <c r="AD7" s="1277"/>
      <c r="AE7" s="1277"/>
      <c r="AF7" s="1337"/>
      <c r="AG7" s="1281"/>
      <c r="AH7" s="1282"/>
      <c r="AI7" s="1282"/>
      <c r="AJ7" s="1282"/>
      <c r="AK7" s="1282"/>
      <c r="AL7" s="1282"/>
      <c r="AM7" s="1282"/>
      <c r="AN7" s="1282"/>
      <c r="AO7" s="1282"/>
      <c r="AP7" s="1283"/>
      <c r="AQ7" s="729" t="s">
        <v>414</v>
      </c>
      <c r="AS7" s="69"/>
      <c r="AT7" s="69" t="str">
        <f t="shared" si="0"/>
        <v>Группа потребителей</v>
      </c>
      <c r="AU7" s="69"/>
      <c r="AV7" s="69"/>
      <c r="AW7" s="11">
        <v>0</v>
      </c>
    </row>
    <row r="8" spans="1:49" ht="21" hidden="1" customHeight="1">
      <c r="A8" s="731"/>
      <c r="B8" s="731"/>
      <c r="C8" s="731"/>
      <c r="D8" s="731"/>
      <c r="E8" s="1320"/>
      <c r="F8" s="1320"/>
      <c r="G8" s="1320"/>
      <c r="H8" s="1320"/>
      <c r="I8" s="1123"/>
      <c r="J8" s="1123"/>
      <c r="K8" s="1159" t="e">
        <f>J7&amp;".1"</f>
        <v>#N/A</v>
      </c>
      <c r="L8" s="58"/>
      <c r="M8" s="754" t="s">
        <v>415</v>
      </c>
      <c r="N8" s="11"/>
      <c r="O8" s="11"/>
      <c r="P8" s="11"/>
      <c r="Q8" s="1297"/>
      <c r="R8" s="1297"/>
      <c r="S8" s="1297">
        <v>1</v>
      </c>
      <c r="T8" s="209"/>
      <c r="U8" s="709" t="e">
        <f>$K8</f>
        <v>#N/A</v>
      </c>
      <c r="V8" s="765"/>
      <c r="W8" s="171"/>
      <c r="X8" s="306"/>
      <c r="Y8" s="306"/>
      <c r="Z8" s="306"/>
      <c r="AA8" s="306"/>
      <c r="AB8" s="798"/>
      <c r="AC8" s="1298"/>
      <c r="AD8" s="1169" t="s">
        <v>62</v>
      </c>
      <c r="AE8" s="1298"/>
      <c r="AF8" s="1169" t="s">
        <v>62</v>
      </c>
      <c r="AG8" s="800"/>
      <c r="AH8" s="306"/>
      <c r="AI8" s="306"/>
      <c r="AJ8" s="306"/>
      <c r="AK8" s="728"/>
      <c r="AL8" s="1298"/>
      <c r="AM8" s="1169" t="s">
        <v>62</v>
      </c>
      <c r="AN8" s="1298"/>
      <c r="AO8" s="1169" t="s">
        <v>62</v>
      </c>
      <c r="AP8" s="191"/>
      <c r="AQ8" s="753" t="s">
        <v>454</v>
      </c>
      <c r="AR8" s="68" t="e">
        <f ca="1">STRCHECKDATE(X10:AP10)</f>
        <v>#NAME?</v>
      </c>
      <c r="AS8" s="69"/>
      <c r="AT8" s="69" t="str">
        <f t="shared" si="0"/>
        <v/>
      </c>
      <c r="AU8" s="69"/>
      <c r="AV8" s="69"/>
      <c r="AW8" s="11">
        <v>0</v>
      </c>
    </row>
    <row r="9" spans="1:49" ht="21" hidden="1" customHeight="1">
      <c r="A9" s="731"/>
      <c r="B9" s="731"/>
      <c r="C9" s="731"/>
      <c r="D9" s="731"/>
      <c r="E9" s="1320"/>
      <c r="F9" s="1320"/>
      <c r="G9" s="1320"/>
      <c r="H9" s="1320"/>
      <c r="I9" s="1123"/>
      <c r="J9" s="1123"/>
      <c r="K9" s="1123"/>
      <c r="L9" s="1159" t="e">
        <f>K8&amp;".1"</f>
        <v>#N/A</v>
      </c>
      <c r="M9" s="754"/>
      <c r="N9" s="11"/>
      <c r="O9" s="11"/>
      <c r="P9" s="11"/>
      <c r="Q9" s="1297"/>
      <c r="R9" s="1297"/>
      <c r="S9" s="1297"/>
      <c r="T9" s="209"/>
      <c r="U9" s="709" t="e">
        <f>$L9</f>
        <v>#N/A</v>
      </c>
      <c r="V9" s="787"/>
      <c r="W9" s="171"/>
      <c r="X9" s="191"/>
      <c r="Y9" s="306"/>
      <c r="Z9" s="306"/>
      <c r="AA9" s="306"/>
      <c r="AB9" s="798"/>
      <c r="AC9" s="1299"/>
      <c r="AD9" s="1169"/>
      <c r="AE9" s="1299"/>
      <c r="AF9" s="1169"/>
      <c r="AG9" s="800"/>
      <c r="AH9" s="306"/>
      <c r="AI9" s="306"/>
      <c r="AJ9" s="306"/>
      <c r="AK9" s="728"/>
      <c r="AL9" s="1299"/>
      <c r="AM9" s="1169"/>
      <c r="AN9" s="1299"/>
      <c r="AO9" s="1169"/>
      <c r="AP9" s="191"/>
      <c r="AQ9" s="1316" t="s">
        <v>455</v>
      </c>
      <c r="AS9" s="69"/>
      <c r="AT9" s="69"/>
      <c r="AU9" s="69"/>
      <c r="AV9" s="69"/>
      <c r="AW9" s="11">
        <v>0</v>
      </c>
    </row>
    <row r="10" spans="1:49" ht="14.25" hidden="1" customHeight="1">
      <c r="A10" s="731"/>
      <c r="B10" s="731"/>
      <c r="C10" s="731"/>
      <c r="D10" s="731"/>
      <c r="E10" s="1320"/>
      <c r="F10" s="1320"/>
      <c r="G10" s="1320"/>
      <c r="H10" s="1320"/>
      <c r="I10" s="1123"/>
      <c r="J10" s="1123"/>
      <c r="K10" s="1123"/>
      <c r="L10" s="1159"/>
      <c r="M10" s="754"/>
      <c r="N10" s="11"/>
      <c r="O10" s="11"/>
      <c r="P10" s="11"/>
      <c r="Q10" s="1297"/>
      <c r="R10" s="1297"/>
      <c r="S10" s="1297"/>
      <c r="T10" s="209"/>
      <c r="U10" s="65"/>
      <c r="V10" s="171"/>
      <c r="W10" s="171"/>
      <c r="X10" s="191"/>
      <c r="Y10" s="191"/>
      <c r="Z10" s="191"/>
      <c r="AA10" s="191"/>
      <c r="AB10" s="799" t="str">
        <f>AC8&amp;"-"&amp;AE8</f>
        <v>-</v>
      </c>
      <c r="AC10" s="1299"/>
      <c r="AD10" s="1169"/>
      <c r="AE10" s="1299"/>
      <c r="AF10" s="1169"/>
      <c r="AG10" s="778"/>
      <c r="AH10" s="191"/>
      <c r="AI10" s="191"/>
      <c r="AJ10" s="191"/>
      <c r="AK10" s="192" t="str">
        <f>AL8&amp;"-"&amp;AN8</f>
        <v>-</v>
      </c>
      <c r="AL10" s="1299"/>
      <c r="AM10" s="1169"/>
      <c r="AN10" s="1299"/>
      <c r="AO10" s="1169"/>
      <c r="AP10" s="191"/>
      <c r="AQ10" s="1317"/>
      <c r="AS10" s="69"/>
      <c r="AT10" s="69" t="str">
        <f>IF(V10="","",V10)</f>
        <v/>
      </c>
      <c r="AU10" s="69"/>
      <c r="AV10" s="69"/>
      <c r="AW10" s="11">
        <v>0</v>
      </c>
    </row>
    <row r="11" spans="1:49" ht="11.25" hidden="1" customHeight="1">
      <c r="A11" s="731"/>
      <c r="B11" s="731"/>
      <c r="C11" s="731"/>
      <c r="D11" s="731"/>
      <c r="E11" s="1320"/>
      <c r="F11" s="1320"/>
      <c r="G11" s="1320"/>
      <c r="H11" s="1320"/>
      <c r="I11" s="1123"/>
      <c r="J11" s="1123"/>
      <c r="K11" s="1159"/>
      <c r="L11" s="731"/>
      <c r="M11" s="754"/>
      <c r="N11" s="11"/>
      <c r="O11" s="11"/>
      <c r="P11" s="11"/>
      <c r="Q11" s="1297"/>
      <c r="R11" s="1297"/>
      <c r="S11" s="1297"/>
      <c r="T11" s="209"/>
      <c r="U11" s="742"/>
      <c r="V11" s="167" t="s">
        <v>456</v>
      </c>
      <c r="W11" s="788"/>
      <c r="X11" s="789"/>
      <c r="Y11" s="789"/>
      <c r="Z11" s="789"/>
      <c r="AA11" s="789"/>
      <c r="AB11" s="790"/>
      <c r="AC11" s="1299"/>
      <c r="AD11" s="1169"/>
      <c r="AE11" s="1299"/>
      <c r="AF11" s="1169"/>
      <c r="AG11" s="789"/>
      <c r="AH11" s="789"/>
      <c r="AI11" s="789"/>
      <c r="AJ11" s="789"/>
      <c r="AK11" s="790"/>
      <c r="AL11" s="1299"/>
      <c r="AM11" s="1169"/>
      <c r="AN11" s="1299"/>
      <c r="AO11" s="1169"/>
      <c r="AP11" s="791"/>
      <c r="AQ11" s="1317"/>
      <c r="AS11" s="69"/>
      <c r="AT11" s="69"/>
      <c r="AU11" s="69"/>
      <c r="AV11" s="69"/>
      <c r="AW11" s="11">
        <v>0</v>
      </c>
    </row>
    <row r="12" spans="1:49" ht="15" hidden="1" customHeight="1">
      <c r="A12" s="731"/>
      <c r="B12" s="731"/>
      <c r="C12" s="731"/>
      <c r="D12" s="731"/>
      <c r="E12" s="1320"/>
      <c r="F12" s="1320"/>
      <c r="G12" s="1320"/>
      <c r="H12" s="1320"/>
      <c r="I12" s="1123"/>
      <c r="J12" s="1159"/>
      <c r="K12" s="731"/>
      <c r="L12" s="731"/>
      <c r="M12" s="754"/>
      <c r="N12" s="11"/>
      <c r="O12" s="11"/>
      <c r="Q12" s="1297"/>
      <c r="R12" s="1297"/>
      <c r="S12" s="122"/>
      <c r="T12" s="208"/>
      <c r="U12" s="742"/>
      <c r="V12" s="166" t="s">
        <v>417</v>
      </c>
      <c r="W12" s="213"/>
      <c r="X12" s="213"/>
      <c r="Y12" s="213"/>
      <c r="Z12" s="213"/>
      <c r="AA12" s="213"/>
      <c r="AB12" s="213"/>
      <c r="AC12" s="801"/>
      <c r="AD12" s="801"/>
      <c r="AE12" s="801"/>
      <c r="AF12" s="801"/>
      <c r="AG12" s="213"/>
      <c r="AH12" s="213"/>
      <c r="AI12" s="213"/>
      <c r="AJ12" s="213"/>
      <c r="AK12" s="213"/>
      <c r="AL12" s="213"/>
      <c r="AM12" s="213"/>
      <c r="AN12" s="213"/>
      <c r="AO12" s="213"/>
      <c r="AP12" s="190"/>
      <c r="AQ12" s="1318"/>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20"/>
      <c r="F13" s="1320"/>
      <c r="G13" s="1320"/>
      <c r="H13" s="1320"/>
      <c r="I13" s="1159"/>
      <c r="J13" s="731"/>
      <c r="K13" s="731"/>
      <c r="L13" s="731"/>
      <c r="M13" s="754"/>
      <c r="N13" s="11"/>
      <c r="Q13" s="1297"/>
      <c r="R13" s="122"/>
      <c r="S13" s="122"/>
      <c r="T13" s="208"/>
      <c r="U13" s="742"/>
      <c r="V13" s="211" t="s">
        <v>418</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20"/>
      <c r="F14" s="1320"/>
      <c r="G14" s="1320"/>
      <c r="H14" s="1319"/>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20"/>
      <c r="F15" s="1320"/>
      <c r="G15" s="1319"/>
      <c r="H15" s="774"/>
      <c r="I15" s="774"/>
      <c r="J15" s="774"/>
      <c r="K15" s="774"/>
      <c r="L15" s="774"/>
      <c r="M15" s="775"/>
      <c r="N15" s="776"/>
      <c r="O15" s="776"/>
      <c r="P15" s="203"/>
      <c r="Q15" s="104"/>
      <c r="R15" s="755"/>
      <c r="S15" s="104"/>
      <c r="T15" s="104"/>
      <c r="U15" s="756"/>
      <c r="V15" s="757" t="s">
        <v>420</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20"/>
      <c r="F16" s="1319"/>
      <c r="G16" s="774"/>
      <c r="H16" s="774"/>
      <c r="I16" s="774"/>
      <c r="J16" s="774"/>
      <c r="K16" s="774"/>
      <c r="L16" s="774"/>
      <c r="M16" s="775"/>
      <c r="N16" s="777"/>
      <c r="O16" s="777"/>
      <c r="P16" s="203"/>
      <c r="Q16" s="104"/>
      <c r="R16" s="755"/>
      <c r="S16" s="104"/>
      <c r="T16" s="104"/>
      <c r="U16" s="760"/>
      <c r="V16" s="761" t="s">
        <v>421</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19"/>
      <c r="F17" s="774"/>
      <c r="G17" s="774"/>
      <c r="H17" s="774"/>
      <c r="I17" s="774"/>
      <c r="J17" s="774"/>
      <c r="K17" s="774"/>
      <c r="L17" s="774"/>
      <c r="M17" s="775"/>
      <c r="N17" s="777"/>
      <c r="O17" s="777"/>
      <c r="P17" s="203"/>
      <c r="Q17" s="104"/>
      <c r="R17" s="755"/>
      <c r="S17" s="104"/>
      <c r="T17" s="104"/>
      <c r="U17" s="760"/>
      <c r="V17" s="762" t="s">
        <v>422</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91"/>
      <c r="AM19" s="1290" t="s">
        <v>62</v>
      </c>
      <c r="AN19" s="1291"/>
      <c r="AO19" s="1290" t="s">
        <v>62</v>
      </c>
      <c r="AW19" s="11">
        <v>0</v>
      </c>
    </row>
    <row r="20" spans="1:49" ht="14.25" hidden="1" customHeight="1">
      <c r="AG20" s="368"/>
      <c r="AH20" s="368"/>
      <c r="AI20" s="368"/>
      <c r="AJ20" s="368"/>
      <c r="AK20" s="768"/>
      <c r="AL20" s="1291"/>
      <c r="AM20" s="1290"/>
      <c r="AN20" s="1291"/>
      <c r="AO20" s="1290"/>
      <c r="AW20" s="11">
        <v>0</v>
      </c>
    </row>
    <row r="21" spans="1:49" ht="14.25" hidden="1" customHeight="1">
      <c r="AG21" s="368"/>
      <c r="AH21" s="368"/>
      <c r="AI21" s="368"/>
      <c r="AJ21" s="368"/>
      <c r="AK21" s="768"/>
      <c r="AL21" s="1291"/>
      <c r="AM21" s="1290"/>
      <c r="AN21" s="1291"/>
      <c r="AO21" s="1290"/>
      <c r="AW21" s="11">
        <v>0</v>
      </c>
    </row>
    <row r="22" spans="1:49" ht="14.25" hidden="1" customHeight="1">
      <c r="AG22" s="368"/>
      <c r="AH22" s="368"/>
      <c r="AI22" s="368"/>
      <c r="AJ22" s="368"/>
      <c r="AK22" s="192" t="str">
        <f>AL19&amp;"-"&amp;AN19</f>
        <v>-</v>
      </c>
      <c r="AL22" s="1290"/>
      <c r="AM22" s="1290"/>
      <c r="AN22" s="1290"/>
      <c r="AO22" s="1290"/>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423</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424</v>
      </c>
      <c r="Q26" s="506"/>
      <c r="R26" s="772"/>
      <c r="S26" s="772"/>
      <c r="T26" s="772"/>
      <c r="U26" s="426"/>
      <c r="V26" s="63" t="s">
        <v>425</v>
      </c>
      <c r="AD26" s="82" t="s">
        <v>426</v>
      </c>
      <c r="AF26" s="82" t="s">
        <v>427</v>
      </c>
      <c r="AG26" s="63" t="s">
        <v>425</v>
      </c>
      <c r="AM26" s="82" t="s">
        <v>428</v>
      </c>
      <c r="AO26" s="82" t="s">
        <v>427</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74"/>
      <c r="W30" s="1274"/>
      <c r="X30" s="1274"/>
      <c r="Y30" s="1274"/>
      <c r="Z30" s="1274"/>
      <c r="AA30" s="1274"/>
      <c r="AB30" s="1274"/>
      <c r="AC30" s="1274"/>
      <c r="AD30" s="1274"/>
      <c r="AE30" s="1274"/>
      <c r="AF30" s="1274"/>
      <c r="AG30" s="1274"/>
      <c r="AH30" s="1274"/>
      <c r="AI30" s="1274"/>
      <c r="AJ30" s="1274"/>
      <c r="AK30" s="1274"/>
      <c r="AL30" s="1274"/>
      <c r="AM30" s="1274"/>
      <c r="AN30" s="1274"/>
      <c r="AO30" s="59"/>
      <c r="AW30" s="11">
        <v>54</v>
      </c>
    </row>
    <row r="31" spans="1:49" ht="14.65" customHeight="1">
      <c r="R31" s="28"/>
      <c r="S31" s="28"/>
      <c r="T31" s="28"/>
      <c r="U31" s="1246" t="str">
        <f>IF(org=0,"Не определено",org)</f>
        <v>Сургутское городское муниципальное унитарное предприятие "Горводоканал"</v>
      </c>
      <c r="V31" s="1246"/>
      <c r="W31" s="1246"/>
      <c r="X31" s="1246"/>
      <c r="Y31" s="1246"/>
      <c r="Z31" s="1246"/>
      <c r="AA31" s="1246"/>
      <c r="AB31" s="1246"/>
      <c r="AC31" s="1246"/>
      <c r="AD31" s="1246"/>
      <c r="AE31" s="1246"/>
      <c r="AF31" s="1246"/>
      <c r="AG31" s="1246"/>
      <c r="AH31" s="1246"/>
      <c r="AI31" s="1246"/>
      <c r="AJ31" s="1246"/>
      <c r="AK31" s="1246"/>
      <c r="AL31" s="1246"/>
      <c r="AM31" s="1246"/>
      <c r="AN31" s="1246"/>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1284"/>
      <c r="W33" s="773"/>
      <c r="X33" s="1286" t="str">
        <f>IF(TITLE_NAME_OR_PR_CHANGE="",IF(TITLE_NAME_OR_PR="","",TITLE_NAME_OR_PR),TITLE_NAME_OR_PR_CHANGE)</f>
        <v/>
      </c>
      <c r="Y33" s="1286"/>
      <c r="Z33" s="1286"/>
      <c r="AA33" s="1286"/>
      <c r="AB33" s="1286"/>
      <c r="AC33" s="1286"/>
      <c r="AD33" s="1286"/>
      <c r="AE33" s="1286"/>
      <c r="AF33" s="11"/>
      <c r="AG33" s="1286" t="str">
        <f>IF(TITLE_NAME_OR_PR_CHANGE="",IF(TITLE_NAME_OR_PR="","",TITLE_NAME_OR_PR),TITLE_NAME_OR_PR_CHANGE)</f>
        <v/>
      </c>
      <c r="AH33" s="1286"/>
      <c r="AI33" s="1286"/>
      <c r="AJ33" s="1286"/>
      <c r="AK33" s="1286"/>
      <c r="AL33" s="1286"/>
      <c r="AM33" s="1286"/>
      <c r="AN33" s="1286"/>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84" t="str">
        <f>"Дата документа об "&amp;IF(TITLE_DATE_PR_CHANGE="","утверждении","изменении")&amp;" тарифов"</f>
        <v>Дата документа об утверждении тарифов</v>
      </c>
      <c r="V34" s="1284"/>
      <c r="W34" s="773"/>
      <c r="X34" s="1285" t="str">
        <f>IF(TITLE_DATE_PR_CHANGE="",IF(TITLE_DATE_PR="","",TITLE_DATE_PR),TITLE_DATE_PR_CHANGE)</f>
        <v/>
      </c>
      <c r="Y34" s="1285"/>
      <c r="Z34" s="1285"/>
      <c r="AA34" s="1285"/>
      <c r="AB34" s="1285"/>
      <c r="AC34" s="1285"/>
      <c r="AD34" s="1285"/>
      <c r="AE34" s="1285"/>
      <c r="AF34" s="11"/>
      <c r="AG34" s="1285" t="str">
        <f>IF(TITLE_DATE_PR_CHANGE="",IF(TITLE_DATE_PR="","",TITLE_DATE_PR),TITLE_DATE_PR_CHANGE)</f>
        <v/>
      </c>
      <c r="AH34" s="1285"/>
      <c r="AI34" s="1285"/>
      <c r="AJ34" s="1285"/>
      <c r="AK34" s="1285"/>
      <c r="AL34" s="1285"/>
      <c r="AM34" s="1285"/>
      <c r="AN34" s="1285"/>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84" t="str">
        <f>"Номер документа об "&amp;IF(TITLE_DATE_PR_CHANGE="","утверждении","изменении")&amp;" тарифов"</f>
        <v>Номер документа об утверждении тарифов</v>
      </c>
      <c r="V35" s="1284"/>
      <c r="W35" s="773"/>
      <c r="X35" s="1286" t="str">
        <f>IF(TITLE_NUMBER_PR_CHANGE="",IF(TITLE_NUMBER_PR="","",TITLE_NUMBER_PR),TITLE_NUMBER_PR_CHANGE)</f>
        <v/>
      </c>
      <c r="Y35" s="1286"/>
      <c r="Z35" s="1286"/>
      <c r="AA35" s="1286"/>
      <c r="AB35" s="1286"/>
      <c r="AC35" s="1286"/>
      <c r="AD35" s="1286"/>
      <c r="AE35" s="1286"/>
      <c r="AF35" s="11"/>
      <c r="AG35" s="1286" t="str">
        <f>IF(TITLE_NUMBER_PR_CHANGE="",IF(TITLE_NUMBER_PR="","",TITLE_NUMBER_PR),TITLE_NUMBER_PR_CHANGE)</f>
        <v/>
      </c>
      <c r="AH35" s="1286"/>
      <c r="AI35" s="1286"/>
      <c r="AJ35" s="1286"/>
      <c r="AK35" s="1286"/>
      <c r="AL35" s="1286"/>
      <c r="AM35" s="1286"/>
      <c r="AN35" s="1286"/>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84" t="s">
        <v>43</v>
      </c>
      <c r="V36" s="1284"/>
      <c r="W36" s="773"/>
      <c r="X36" s="1286" t="str">
        <f>IF(TITLE_IST_PUB_CHANGE="",IF(TITLE_IST_PUB="","",TITLE_IST_PUB),TITLE_IST_PUB_CHANGE)</f>
        <v/>
      </c>
      <c r="Y36" s="1286"/>
      <c r="Z36" s="1286"/>
      <c r="AA36" s="1286"/>
      <c r="AB36" s="1286"/>
      <c r="AC36" s="1286"/>
      <c r="AD36" s="1286"/>
      <c r="AE36" s="1286"/>
      <c r="AF36" s="11"/>
      <c r="AG36" s="1286" t="str">
        <f>IF(TITLE_IST_PUB_CHANGE="",IF(TITLE_IST_PUB="","",TITLE_IST_PUB),TITLE_IST_PUB_CHANGE)</f>
        <v/>
      </c>
      <c r="AH36" s="1286"/>
      <c r="AI36" s="1286"/>
      <c r="AJ36" s="1286"/>
      <c r="AK36" s="1286"/>
      <c r="AL36" s="1286"/>
      <c r="AM36" s="1286"/>
      <c r="AN36" s="1286"/>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84" t="str">
        <f>"Дата подачи заявления об "&amp;IF(TITLE_DATE_PR_CHANGE="","утверждении","изменении")&amp;" тарифов"</f>
        <v>Дата подачи заявления об утверждении тарифов</v>
      </c>
      <c r="V38" s="1284"/>
      <c r="W38" s="773"/>
      <c r="X38" s="1285" t="str">
        <f>IF(TITLE_DATE_PR_CHANGE="",IF(TITLE_DATE_PR="","",TITLE_DATE_PR),TITLE_DATE_PR_CHANGE)</f>
        <v/>
      </c>
      <c r="Y38" s="1285"/>
      <c r="Z38" s="1285"/>
      <c r="AA38" s="1285"/>
      <c r="AB38" s="1285"/>
      <c r="AC38" s="1285"/>
      <c r="AD38" s="1285"/>
      <c r="AE38" s="1285"/>
      <c r="AF38" s="11"/>
      <c r="AG38" s="1285" t="str">
        <f>IF(TITLE_DATE_PR_CHANGE="",IF(TITLE_DATE_PR="","",TITLE_DATE_PR),TITLE_DATE_PR_CHANGE)</f>
        <v/>
      </c>
      <c r="AH38" s="1285"/>
      <c r="AI38" s="1285"/>
      <c r="AJ38" s="1285"/>
      <c r="AK38" s="1285"/>
      <c r="AL38" s="1285"/>
      <c r="AM38" s="1285"/>
      <c r="AN38" s="1285"/>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84" t="str">
        <f>"Номер подачи заявления об "&amp;IF(TITLE_DATE_PR_CHANGE="","утверждении","изменении")&amp;" тарифов"</f>
        <v>Номер подачи заявления об утверждении тарифов</v>
      </c>
      <c r="V39" s="1284"/>
      <c r="W39" s="773"/>
      <c r="X39" s="1286" t="str">
        <f>IF(TITLE_NUMBER_PR_CHANGE="",IF(TITLE_NUMBER_PR="","",TITLE_NUMBER_PR),TITLE_NUMBER_PR_CHANGE)</f>
        <v/>
      </c>
      <c r="Y39" s="1286"/>
      <c r="Z39" s="1286"/>
      <c r="AA39" s="1286"/>
      <c r="AB39" s="1286"/>
      <c r="AC39" s="1286"/>
      <c r="AD39" s="1286"/>
      <c r="AE39" s="1286"/>
      <c r="AF39" s="11"/>
      <c r="AG39" s="1286" t="str">
        <f>IF(TITLE_NUMBER_PR_CHANGE="",IF(TITLE_NUMBER_PR="","",TITLE_NUMBER_PR),TITLE_NUMBER_PR_CHANGE)</f>
        <v/>
      </c>
      <c r="AH39" s="1286"/>
      <c r="AI39" s="1286"/>
      <c r="AJ39" s="1286"/>
      <c r="AK39" s="1286"/>
      <c r="AL39" s="1286"/>
      <c r="AM39" s="1286"/>
      <c r="AN39" s="1286"/>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429</v>
      </c>
      <c r="AG40" s="11"/>
      <c r="AH40" s="11"/>
      <c r="AI40" s="11"/>
      <c r="AJ40" s="11"/>
      <c r="AK40" s="11"/>
      <c r="AL40" s="11"/>
      <c r="AM40" s="11"/>
      <c r="AN40" s="11"/>
      <c r="AO40" s="68" t="s">
        <v>429</v>
      </c>
      <c r="AR40" s="69"/>
      <c r="AS40" s="69"/>
      <c r="AT40" s="69"/>
      <c r="AU40" s="69"/>
      <c r="AV40" s="69"/>
      <c r="AW40" s="35">
        <v>0</v>
      </c>
    </row>
    <row r="41" spans="1:49" ht="14.65" customHeight="1">
      <c r="R41" s="28"/>
      <c r="S41" s="28"/>
      <c r="T41" s="28"/>
      <c r="U41" s="739"/>
      <c r="V41" s="10"/>
      <c r="W41" s="720"/>
      <c r="X41" s="1305"/>
      <c r="Y41" s="1305"/>
      <c r="Z41" s="1305"/>
      <c r="AA41" s="1305"/>
      <c r="AB41" s="1305"/>
      <c r="AC41" s="1305"/>
      <c r="AD41" s="1305"/>
      <c r="AE41" s="1305"/>
      <c r="AF41" s="1305"/>
      <c r="AG41" s="1305"/>
      <c r="AH41" s="1305"/>
      <c r="AI41" s="1305"/>
      <c r="AJ41" s="1305"/>
      <c r="AK41" s="1305"/>
      <c r="AL41" s="1305"/>
      <c r="AM41" s="1305"/>
      <c r="AN41" s="1305"/>
      <c r="AO41" s="1305"/>
      <c r="AW41" s="11">
        <v>14</v>
      </c>
    </row>
    <row r="42" spans="1:49" ht="14.65" customHeight="1">
      <c r="R42" s="28"/>
      <c r="S42" s="28"/>
      <c r="T42" s="28"/>
      <c r="U42" s="1159" t="s">
        <v>306</v>
      </c>
      <c r="V42" s="1159"/>
      <c r="W42" s="1159"/>
      <c r="X42" s="1159"/>
      <c r="Y42" s="1159"/>
      <c r="Z42" s="1159"/>
      <c r="AA42" s="1159"/>
      <c r="AB42" s="1159"/>
      <c r="AC42" s="1159"/>
      <c r="AD42" s="1159"/>
      <c r="AE42" s="1159"/>
      <c r="AF42" s="1159"/>
      <c r="AG42" s="1159"/>
      <c r="AH42" s="1159"/>
      <c r="AI42" s="1159"/>
      <c r="AJ42" s="1159"/>
      <c r="AK42" s="1159"/>
      <c r="AL42" s="1159"/>
      <c r="AM42" s="1159"/>
      <c r="AN42" s="1159"/>
      <c r="AO42" s="1159"/>
      <c r="AP42" s="1159"/>
      <c r="AQ42" s="1159" t="s">
        <v>307</v>
      </c>
      <c r="AW42" s="11">
        <v>14</v>
      </c>
    </row>
    <row r="43" spans="1:49" ht="14.65" customHeight="1">
      <c r="R43" s="28"/>
      <c r="S43" s="28"/>
      <c r="T43" s="28"/>
      <c r="U43" s="1306" t="s">
        <v>88</v>
      </c>
      <c r="V43" s="1254" t="s">
        <v>430</v>
      </c>
      <c r="W43" s="172"/>
      <c r="X43" s="1307" t="s">
        <v>431</v>
      </c>
      <c r="Y43" s="1323"/>
      <c r="Z43" s="1323"/>
      <c r="AA43" s="1323"/>
      <c r="AB43" s="1323"/>
      <c r="AC43" s="1308"/>
      <c r="AD43" s="1308"/>
      <c r="AE43" s="1309"/>
      <c r="AF43" s="1310" t="s">
        <v>432</v>
      </c>
      <c r="AG43" s="1307" t="s">
        <v>431</v>
      </c>
      <c r="AH43" s="1323"/>
      <c r="AI43" s="1323"/>
      <c r="AJ43" s="1323"/>
      <c r="AK43" s="1323"/>
      <c r="AL43" s="1308"/>
      <c r="AM43" s="1308"/>
      <c r="AN43" s="1309"/>
      <c r="AO43" s="1310" t="s">
        <v>433</v>
      </c>
      <c r="AP43" s="1313" t="s">
        <v>434</v>
      </c>
      <c r="AQ43" s="1159"/>
      <c r="AW43" s="11">
        <v>14</v>
      </c>
    </row>
    <row r="44" spans="1:49" ht="35.65" customHeight="1">
      <c r="R44" s="28"/>
      <c r="S44" s="28"/>
      <c r="T44" s="28"/>
      <c r="U44" s="1306"/>
      <c r="V44" s="1254"/>
      <c r="W44" s="607"/>
      <c r="X44" s="1225" t="s">
        <v>457</v>
      </c>
      <c r="Y44" s="1159" t="s">
        <v>458</v>
      </c>
      <c r="Z44" s="1159"/>
      <c r="AA44" s="1159"/>
      <c r="AB44" s="1159"/>
      <c r="AC44" s="1225" t="s">
        <v>438</v>
      </c>
      <c r="AD44" s="1335"/>
      <c r="AE44" s="1226"/>
      <c r="AF44" s="1311"/>
      <c r="AG44" s="1225" t="s">
        <v>457</v>
      </c>
      <c r="AH44" s="1159" t="s">
        <v>458</v>
      </c>
      <c r="AI44" s="1159"/>
      <c r="AJ44" s="1159"/>
      <c r="AK44" s="1159"/>
      <c r="AL44" s="1225" t="s">
        <v>438</v>
      </c>
      <c r="AM44" s="1335"/>
      <c r="AN44" s="1226"/>
      <c r="AO44" s="1311"/>
      <c r="AP44" s="1314"/>
      <c r="AQ44" s="1159"/>
      <c r="AW44" s="11">
        <v>34</v>
      </c>
    </row>
    <row r="45" spans="1:49" ht="14.65" customHeight="1">
      <c r="R45" s="28"/>
      <c r="S45" s="28"/>
      <c r="T45" s="28"/>
      <c r="U45" s="1306"/>
      <c r="V45" s="1254"/>
      <c r="W45" s="607"/>
      <c r="X45" s="1227"/>
      <c r="Y45" s="1260" t="s">
        <v>459</v>
      </c>
      <c r="Z45" s="1259" t="s">
        <v>460</v>
      </c>
      <c r="AA45" s="1272"/>
      <c r="AB45" s="1273"/>
      <c r="AC45" s="1230"/>
      <c r="AD45" s="1336"/>
      <c r="AE45" s="1231"/>
      <c r="AF45" s="1311"/>
      <c r="AG45" s="1227"/>
      <c r="AH45" s="1260" t="s">
        <v>459</v>
      </c>
      <c r="AI45" s="1259" t="s">
        <v>460</v>
      </c>
      <c r="AJ45" s="1272"/>
      <c r="AK45" s="1273"/>
      <c r="AL45" s="1230"/>
      <c r="AM45" s="1336"/>
      <c r="AN45" s="1231"/>
      <c r="AO45" s="1311"/>
      <c r="AP45" s="1314"/>
      <c r="AQ45" s="1159"/>
      <c r="AW45" s="11">
        <v>14</v>
      </c>
    </row>
    <row r="46" spans="1:49" ht="27.4" customHeight="1">
      <c r="R46" s="28"/>
      <c r="S46" s="28"/>
      <c r="T46" s="28"/>
      <c r="U46" s="1306"/>
      <c r="V46" s="1254"/>
      <c r="W46" s="607"/>
      <c r="X46" s="1227"/>
      <c r="Y46" s="1334"/>
      <c r="Z46" s="1260" t="s">
        <v>461</v>
      </c>
      <c r="AA46" s="1259" t="s">
        <v>462</v>
      </c>
      <c r="AB46" s="1273"/>
      <c r="AC46" s="1260" t="s">
        <v>448</v>
      </c>
      <c r="AD46" s="1264" t="s">
        <v>449</v>
      </c>
      <c r="AE46" s="1262"/>
      <c r="AF46" s="1311"/>
      <c r="AG46" s="1227"/>
      <c r="AH46" s="1334"/>
      <c r="AI46" s="1260" t="s">
        <v>461</v>
      </c>
      <c r="AJ46" s="1259" t="s">
        <v>462</v>
      </c>
      <c r="AK46" s="1273"/>
      <c r="AL46" s="1260" t="s">
        <v>448</v>
      </c>
      <c r="AM46" s="1264" t="s">
        <v>449</v>
      </c>
      <c r="AN46" s="1262"/>
      <c r="AO46" s="1311"/>
      <c r="AP46" s="1314"/>
      <c r="AQ46" s="1159"/>
      <c r="AW46" s="11">
        <v>26</v>
      </c>
    </row>
    <row r="47" spans="1:49" ht="65.25" customHeight="1">
      <c r="A47" s="17"/>
      <c r="B47" s="17" t="s">
        <v>143</v>
      </c>
      <c r="C47" s="17" t="s">
        <v>144</v>
      </c>
      <c r="D47" s="17" t="s">
        <v>145</v>
      </c>
      <c r="E47" s="754" t="s">
        <v>439</v>
      </c>
      <c r="F47" s="754" t="s">
        <v>440</v>
      </c>
      <c r="G47" s="754" t="s">
        <v>441</v>
      </c>
      <c r="H47" s="754" t="s">
        <v>442</v>
      </c>
      <c r="I47" s="754" t="s">
        <v>443</v>
      </c>
      <c r="J47" s="754" t="s">
        <v>444</v>
      </c>
      <c r="K47" s="754" t="s">
        <v>445</v>
      </c>
      <c r="L47" s="754" t="s">
        <v>463</v>
      </c>
      <c r="M47" s="754" t="s">
        <v>424</v>
      </c>
      <c r="R47" s="28"/>
      <c r="S47" s="28"/>
      <c r="T47" s="28"/>
      <c r="U47" s="1306"/>
      <c r="V47" s="1254"/>
      <c r="W47" s="173"/>
      <c r="X47" s="1230"/>
      <c r="Y47" s="1261"/>
      <c r="Z47" s="1261"/>
      <c r="AA47" s="39" t="s">
        <v>464</v>
      </c>
      <c r="AB47" s="39" t="s">
        <v>465</v>
      </c>
      <c r="AC47" s="1261"/>
      <c r="AD47" s="1265"/>
      <c r="AE47" s="1263"/>
      <c r="AF47" s="1312"/>
      <c r="AG47" s="1230"/>
      <c r="AH47" s="1261"/>
      <c r="AI47" s="1261"/>
      <c r="AJ47" s="39" t="s">
        <v>464</v>
      </c>
      <c r="AK47" s="39" t="s">
        <v>465</v>
      </c>
      <c r="AL47" s="1261"/>
      <c r="AM47" s="1265"/>
      <c r="AN47" s="1263"/>
      <c r="AO47" s="1312"/>
      <c r="AP47" s="1315"/>
      <c r="AQ47" s="1159"/>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109</v>
      </c>
      <c r="V48" s="726" t="s">
        <v>110</v>
      </c>
      <c r="W48" s="721" t="str">
        <f ca="1">OFFSET(W48,0,-1)</f>
        <v>2</v>
      </c>
      <c r="X48" s="727">
        <f ca="1">OFFSET(X48,0,-1)+1</f>
        <v>3</v>
      </c>
      <c r="Y48" s="286"/>
      <c r="Z48" s="286"/>
      <c r="AA48" s="286">
        <f ca="1">OFFSET(AA48,0,-1)+1</f>
        <v>1</v>
      </c>
      <c r="AB48" s="286">
        <f ca="1">OFFSET(AB48,0,-1)+1</f>
        <v>2</v>
      </c>
      <c r="AC48" s="727">
        <f ca="1">OFFSET(AC48,0,-1)+1</f>
        <v>3</v>
      </c>
      <c r="AD48" s="1304">
        <f ca="1">OFFSET(AD48,0,-1)+1</f>
        <v>4</v>
      </c>
      <c r="AE48" s="1304"/>
      <c r="AF48" s="727">
        <f ca="1">OFFSET(AF48,0,-2)+1</f>
        <v>5</v>
      </c>
      <c r="AG48" s="727">
        <f ca="1">OFFSET(AG48,0,-1)+1</f>
        <v>6</v>
      </c>
      <c r="AH48" s="727"/>
      <c r="AI48" s="727"/>
      <c r="AJ48" s="727">
        <f ca="1">OFFSET(AJ48,0,-1)+1</f>
        <v>1</v>
      </c>
      <c r="AK48" s="727">
        <f ca="1">OFFSET(AK48,0,-1)+1</f>
        <v>2</v>
      </c>
      <c r="AL48" s="727">
        <f ca="1">OFFSET(AL48,0,-1)+1</f>
        <v>3</v>
      </c>
      <c r="AM48" s="1304">
        <f ca="1">OFFSET(AM48,0,-1)+1</f>
        <v>4</v>
      </c>
      <c r="AN48" s="1304"/>
      <c r="AO48" s="727">
        <f ca="1">OFFSET(AO48,0,-2)+1</f>
        <v>5</v>
      </c>
      <c r="AP48" s="721">
        <f ca="1">OFFSET(AP48,0,-1)</f>
        <v>5</v>
      </c>
      <c r="AQ48" s="727">
        <f ca="1">OFFSET(AQ48,0,-1)+1</f>
        <v>6</v>
      </c>
      <c r="AR48" s="68"/>
      <c r="AS48" s="68"/>
      <c r="AT48" s="68"/>
      <c r="AU48" s="68"/>
      <c r="AV48" s="68"/>
      <c r="AW48" s="203">
        <v>0</v>
      </c>
    </row>
    <row r="49" spans="1:49" ht="21.95" customHeight="1">
      <c r="A49" s="731" t="s">
        <v>182</v>
      </c>
      <c r="B49" s="731"/>
      <c r="C49" s="731"/>
      <c r="D49" s="731"/>
      <c r="E49" s="1319">
        <v>1</v>
      </c>
      <c r="F49" s="731"/>
      <c r="G49" s="731"/>
      <c r="H49" s="731"/>
      <c r="I49" s="731"/>
      <c r="J49" s="731"/>
      <c r="K49" s="731"/>
      <c r="L49" s="731"/>
      <c r="M49" s="754"/>
      <c r="N49" s="342"/>
      <c r="O49" s="342"/>
      <c r="P49" s="342"/>
      <c r="R49" s="34"/>
      <c r="S49" s="34"/>
      <c r="T49" s="207"/>
      <c r="U49" s="709">
        <f>INDEX(PT_DIFFERENTIATION_NUM_NTAR,MATCH(A49,PT_DIFFERENTIATION_NTAR_ID,0))</f>
        <v>0</v>
      </c>
      <c r="V49" s="67" t="s">
        <v>131</v>
      </c>
      <c r="W49" s="171"/>
      <c r="X49" s="1287"/>
      <c r="Y49" s="1288"/>
      <c r="Z49" s="1288"/>
      <c r="AA49" s="1288"/>
      <c r="AB49" s="1288"/>
      <c r="AC49" s="1288"/>
      <c r="AD49" s="1288"/>
      <c r="AE49" s="1288"/>
      <c r="AF49" s="1289"/>
      <c r="AG49" s="1287" t="str">
        <f>INDEX(PT_DIFFERENTIATION_NTAR,MATCH(A49,PT_DIFFERENTIATION_NTAR_ID,0))</f>
        <v/>
      </c>
      <c r="AH49" s="1288"/>
      <c r="AI49" s="1288"/>
      <c r="AJ49" s="1288"/>
      <c r="AK49" s="1288"/>
      <c r="AL49" s="1288"/>
      <c r="AM49" s="1288"/>
      <c r="AN49" s="1288"/>
      <c r="AO49" s="1288"/>
      <c r="AP49" s="1289"/>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182</v>
      </c>
      <c r="B50" s="731" t="s">
        <v>183</v>
      </c>
      <c r="C50" s="731"/>
      <c r="D50" s="731"/>
      <c r="E50" s="1320"/>
      <c r="F50" s="1319">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403</v>
      </c>
      <c r="W50" s="171"/>
      <c r="X50" s="1287"/>
      <c r="Y50" s="1288"/>
      <c r="Z50" s="1288"/>
      <c r="AA50" s="1288"/>
      <c r="AB50" s="1288"/>
      <c r="AC50" s="1288"/>
      <c r="AD50" s="1288"/>
      <c r="AE50" s="1288"/>
      <c r="AF50" s="1289"/>
      <c r="AG50" s="1287" t="str">
        <f>INDEX(PT_DIFFERENTIATION_TER,MATCH(B50,PT_DIFFERENTIATION_TER_ID,0))</f>
        <v/>
      </c>
      <c r="AH50" s="1288"/>
      <c r="AI50" s="1288"/>
      <c r="AJ50" s="1288"/>
      <c r="AK50" s="1288"/>
      <c r="AL50" s="1288"/>
      <c r="AM50" s="1288"/>
      <c r="AN50" s="1288"/>
      <c r="AO50" s="1288"/>
      <c r="AP50" s="1289"/>
      <c r="AQ50" s="729" t="s">
        <v>404</v>
      </c>
      <c r="AS50" s="69"/>
      <c r="AT50" s="69" t="str">
        <f t="shared" si="2"/>
        <v>Территория действия тарифа</v>
      </c>
      <c r="AU50" s="69"/>
      <c r="AV50" s="69"/>
      <c r="AW50" s="11">
        <v>21</v>
      </c>
    </row>
    <row r="51" spans="1:49" ht="24" customHeight="1">
      <c r="A51" s="731" t="s">
        <v>182</v>
      </c>
      <c r="B51" s="731" t="s">
        <v>183</v>
      </c>
      <c r="C51" s="731" t="s">
        <v>184</v>
      </c>
      <c r="D51" s="731"/>
      <c r="E51" s="1320"/>
      <c r="F51" s="1320"/>
      <c r="G51" s="1319">
        <v>1</v>
      </c>
      <c r="H51" s="731"/>
      <c r="I51" s="731"/>
      <c r="J51" s="731"/>
      <c r="K51" s="731"/>
      <c r="L51" s="731"/>
      <c r="M51" s="754"/>
      <c r="N51" s="342"/>
      <c r="O51" s="342"/>
      <c r="P51" s="342"/>
      <c r="Q51" s="206"/>
      <c r="R51" s="204"/>
      <c r="S51" s="11"/>
      <c r="T51" s="205"/>
      <c r="U51" s="709" t="str">
        <f>INDEX(PT_DIFFERENTIATION_NUM_CS,MATCH(C51,PT_DIFFERENTIATION_CS_ID,0))</f>
        <v>..</v>
      </c>
      <c r="V51" s="178" t="s">
        <v>405</v>
      </c>
      <c r="W51" s="171"/>
      <c r="X51" s="1287"/>
      <c r="Y51" s="1288"/>
      <c r="Z51" s="1288"/>
      <c r="AA51" s="1288"/>
      <c r="AB51" s="1288"/>
      <c r="AC51" s="1288"/>
      <c r="AD51" s="1288"/>
      <c r="AE51" s="1288"/>
      <c r="AF51" s="1289"/>
      <c r="AG51" s="1287" t="str">
        <f>INDEX(PT_DIFFERENTIATION_CS,MATCH(C51,PT_DIFFERENTIATION_CS_ID,0))</f>
        <v/>
      </c>
      <c r="AH51" s="1288"/>
      <c r="AI51" s="1288"/>
      <c r="AJ51" s="1288"/>
      <c r="AK51" s="1288"/>
      <c r="AL51" s="1288"/>
      <c r="AM51" s="1288"/>
      <c r="AN51" s="1288"/>
      <c r="AO51" s="1288"/>
      <c r="AP51" s="1289"/>
      <c r="AQ51" s="729" t="s">
        <v>406</v>
      </c>
      <c r="AS51" s="69"/>
      <c r="AT51" s="69" t="str">
        <f t="shared" si="2"/>
        <v xml:space="preserve">Наименование системы теплоснабжения </v>
      </c>
      <c r="AU51" s="69"/>
      <c r="AV51" s="69"/>
      <c r="AW51" s="11">
        <v>23</v>
      </c>
    </row>
    <row r="52" spans="1:49" ht="21.95" customHeight="1">
      <c r="A52" s="731" t="s">
        <v>182</v>
      </c>
      <c r="B52" s="731" t="s">
        <v>183</v>
      </c>
      <c r="C52" s="731" t="s">
        <v>184</v>
      </c>
      <c r="D52" s="731" t="s">
        <v>185</v>
      </c>
      <c r="E52" s="1320"/>
      <c r="F52" s="1320"/>
      <c r="G52" s="1320"/>
      <c r="H52" s="1319">
        <v>1</v>
      </c>
      <c r="I52" s="731"/>
      <c r="J52" s="731"/>
      <c r="K52" s="731"/>
      <c r="L52" s="731"/>
      <c r="M52" s="754"/>
      <c r="N52" s="342"/>
      <c r="O52" s="342"/>
      <c r="P52" s="342"/>
      <c r="Q52" s="206"/>
      <c r="R52" s="204"/>
      <c r="S52" s="11"/>
      <c r="T52" s="205"/>
      <c r="U52" s="709" t="str">
        <f>INDEX(PT_DIFFERENTIATION_NUM_IST_TE,MATCH(D52,PT_DIFFERENTIATION_IST_TE_ID,0))</f>
        <v>...</v>
      </c>
      <c r="V52" s="179" t="s">
        <v>407</v>
      </c>
      <c r="W52" s="171"/>
      <c r="X52" s="1287"/>
      <c r="Y52" s="1288"/>
      <c r="Z52" s="1288"/>
      <c r="AA52" s="1288"/>
      <c r="AB52" s="1288"/>
      <c r="AC52" s="1288"/>
      <c r="AD52" s="1288"/>
      <c r="AE52" s="1288"/>
      <c r="AF52" s="1289"/>
      <c r="AG52" s="1287" t="str">
        <f>INDEX(PT_DIFFERENTIATION_IST_TE,MATCH(D52,PT_DIFFERENTIATION_IST_TE_ID,0))</f>
        <v/>
      </c>
      <c r="AH52" s="1288"/>
      <c r="AI52" s="1288"/>
      <c r="AJ52" s="1288"/>
      <c r="AK52" s="1288"/>
      <c r="AL52" s="1288"/>
      <c r="AM52" s="1288"/>
      <c r="AN52" s="1288"/>
      <c r="AO52" s="1288"/>
      <c r="AP52" s="1289"/>
      <c r="AQ52" s="729" t="s">
        <v>408</v>
      </c>
      <c r="AS52" s="69"/>
      <c r="AT52" s="69" t="str">
        <f t="shared" si="2"/>
        <v xml:space="preserve">Источник тепловой энергии  </v>
      </c>
      <c r="AU52" s="69"/>
      <c r="AV52" s="69"/>
      <c r="AW52" s="11">
        <v>21</v>
      </c>
    </row>
    <row r="53" spans="1:49" s="68" customFormat="1" ht="0" hidden="1" customHeight="1">
      <c r="A53" s="774" t="s">
        <v>182</v>
      </c>
      <c r="B53" s="774" t="s">
        <v>183</v>
      </c>
      <c r="C53" s="774" t="s">
        <v>184</v>
      </c>
      <c r="D53" s="774" t="s">
        <v>185</v>
      </c>
      <c r="E53" s="1320"/>
      <c r="F53" s="1320"/>
      <c r="G53" s="1320"/>
      <c r="H53" s="1320"/>
      <c r="I53" s="1159" t="str">
        <f>U52&amp;".1"</f>
        <v>....1</v>
      </c>
      <c r="J53" s="774"/>
      <c r="K53" s="774"/>
      <c r="L53" s="774"/>
      <c r="M53" s="775" t="s">
        <v>409</v>
      </c>
      <c r="N53" s="722"/>
      <c r="O53" s="722"/>
      <c r="P53" s="722"/>
      <c r="Q53" s="1297">
        <v>1</v>
      </c>
      <c r="R53" s="122"/>
      <c r="S53" s="122"/>
      <c r="T53" s="208"/>
      <c r="U53" s="362"/>
      <c r="V53" s="779"/>
      <c r="W53" s="780"/>
      <c r="X53" s="1324"/>
      <c r="Y53" s="1325"/>
      <c r="Z53" s="1325"/>
      <c r="AA53" s="1325"/>
      <c r="AB53" s="1325"/>
      <c r="AC53" s="1325"/>
      <c r="AD53" s="1325"/>
      <c r="AE53" s="1325"/>
      <c r="AF53" s="1326"/>
      <c r="AG53" s="1324"/>
      <c r="AH53" s="1325"/>
      <c r="AI53" s="1325"/>
      <c r="AJ53" s="1325"/>
      <c r="AK53" s="1325"/>
      <c r="AL53" s="1325"/>
      <c r="AM53" s="1325"/>
      <c r="AN53" s="1325"/>
      <c r="AO53" s="1325"/>
      <c r="AP53" s="1326"/>
      <c r="AQ53" s="781"/>
      <c r="AS53" s="69"/>
      <c r="AT53" s="69" t="str">
        <f t="shared" si="2"/>
        <v/>
      </c>
      <c r="AU53" s="69"/>
      <c r="AV53" s="69"/>
      <c r="AW53" s="68">
        <v>0</v>
      </c>
    </row>
    <row r="54" spans="1:49" ht="21.95" customHeight="1">
      <c r="A54" s="731" t="s">
        <v>182</v>
      </c>
      <c r="B54" s="731" t="s">
        <v>183</v>
      </c>
      <c r="C54" s="731" t="s">
        <v>184</v>
      </c>
      <c r="D54" s="731" t="s">
        <v>185</v>
      </c>
      <c r="E54" s="1320"/>
      <c r="F54" s="1320"/>
      <c r="G54" s="1320"/>
      <c r="H54" s="1320"/>
      <c r="I54" s="1123"/>
      <c r="J54" s="1159" t="str">
        <f>I53&amp;".1"</f>
        <v>....1.1</v>
      </c>
      <c r="K54" s="731"/>
      <c r="L54" s="731"/>
      <c r="M54" s="754" t="s">
        <v>412</v>
      </c>
      <c r="Q54" s="1297"/>
      <c r="R54" s="1297">
        <v>1</v>
      </c>
      <c r="S54" s="68"/>
      <c r="T54" s="209"/>
      <c r="U54" s="709" t="str">
        <f>$J54</f>
        <v>....1.1</v>
      </c>
      <c r="V54" s="165" t="s">
        <v>413</v>
      </c>
      <c r="W54" s="171"/>
      <c r="X54" s="1281"/>
      <c r="Y54" s="1282"/>
      <c r="Z54" s="1282"/>
      <c r="AA54" s="1282"/>
      <c r="AB54" s="1282"/>
      <c r="AC54" s="1277"/>
      <c r="AD54" s="1277"/>
      <c r="AE54" s="1277"/>
      <c r="AF54" s="1337"/>
      <c r="AG54" s="1281"/>
      <c r="AH54" s="1282"/>
      <c r="AI54" s="1282"/>
      <c r="AJ54" s="1282"/>
      <c r="AK54" s="1282"/>
      <c r="AL54" s="1282"/>
      <c r="AM54" s="1282"/>
      <c r="AN54" s="1282"/>
      <c r="AO54" s="1282"/>
      <c r="AP54" s="1283"/>
      <c r="AQ54" s="729" t="s">
        <v>414</v>
      </c>
      <c r="AS54" s="69"/>
      <c r="AT54" s="69" t="str">
        <f t="shared" si="2"/>
        <v>Группа потребителей</v>
      </c>
      <c r="AU54" s="69"/>
      <c r="AV54" s="69"/>
      <c r="AW54" s="11">
        <v>21</v>
      </c>
    </row>
    <row r="55" spans="1:49" ht="21.95" customHeight="1">
      <c r="A55" s="731" t="s">
        <v>182</v>
      </c>
      <c r="B55" s="731" t="s">
        <v>183</v>
      </c>
      <c r="C55" s="731" t="s">
        <v>184</v>
      </c>
      <c r="D55" s="731" t="s">
        <v>185</v>
      </c>
      <c r="E55" s="1320"/>
      <c r="F55" s="1320"/>
      <c r="G55" s="1320"/>
      <c r="H55" s="1320"/>
      <c r="I55" s="1123"/>
      <c r="J55" s="1123"/>
      <c r="K55" s="1159" t="str">
        <f>J54&amp;".1"</f>
        <v>....1.1.1</v>
      </c>
      <c r="L55" s="58"/>
      <c r="M55" s="754" t="s">
        <v>415</v>
      </c>
      <c r="Q55" s="1297"/>
      <c r="R55" s="1297"/>
      <c r="S55" s="68">
        <v>1</v>
      </c>
      <c r="T55" s="209"/>
      <c r="U55" s="709" t="str">
        <f>$K55</f>
        <v>....1.1.1</v>
      </c>
      <c r="V55" s="765"/>
      <c r="W55" s="171"/>
      <c r="X55" s="306"/>
      <c r="Y55" s="306"/>
      <c r="Z55" s="306"/>
      <c r="AA55" s="306"/>
      <c r="AB55" s="798"/>
      <c r="AC55" s="1298"/>
      <c r="AD55" s="1169" t="s">
        <v>62</v>
      </c>
      <c r="AE55" s="1298"/>
      <c r="AF55" s="1169" t="s">
        <v>62</v>
      </c>
      <c r="AG55" s="800"/>
      <c r="AH55" s="306"/>
      <c r="AI55" s="306"/>
      <c r="AJ55" s="306"/>
      <c r="AK55" s="728"/>
      <c r="AL55" s="1298"/>
      <c r="AM55" s="1169" t="s">
        <v>62</v>
      </c>
      <c r="AN55" s="1298"/>
      <c r="AO55" s="1169" t="s">
        <v>62</v>
      </c>
      <c r="AP55" s="766"/>
      <c r="AQ55" s="753" t="s">
        <v>454</v>
      </c>
      <c r="AR55" s="68" t="e">
        <f ca="1">STRCHECKDATE(X57:AP57)</f>
        <v>#NAME?</v>
      </c>
      <c r="AS55" s="69"/>
      <c r="AT55" s="69" t="str">
        <f t="shared" si="2"/>
        <v/>
      </c>
      <c r="AU55" s="69"/>
      <c r="AV55" s="69"/>
      <c r="AW55" s="11">
        <v>21</v>
      </c>
    </row>
    <row r="56" spans="1:49" ht="11.45" customHeight="1">
      <c r="A56" s="731" t="s">
        <v>182</v>
      </c>
      <c r="B56" s="731" t="s">
        <v>183</v>
      </c>
      <c r="C56" s="731" t="s">
        <v>184</v>
      </c>
      <c r="D56" s="731" t="s">
        <v>185</v>
      </c>
      <c r="E56" s="1320"/>
      <c r="F56" s="1320"/>
      <c r="G56" s="1320"/>
      <c r="H56" s="1320"/>
      <c r="I56" s="1123"/>
      <c r="J56" s="1123"/>
      <c r="K56" s="1123"/>
      <c r="L56" s="1159" t="str">
        <f>K55&amp;".1"</f>
        <v>....1.1.1.1</v>
      </c>
      <c r="M56" s="754"/>
      <c r="Q56" s="1297"/>
      <c r="R56" s="1297"/>
      <c r="S56" s="68">
        <v>1</v>
      </c>
      <c r="T56" s="209"/>
      <c r="U56" s="709" t="str">
        <f>$L56</f>
        <v>....1.1.1.1</v>
      </c>
      <c r="V56" s="787"/>
      <c r="W56" s="171"/>
      <c r="X56" s="191"/>
      <c r="Y56" s="306"/>
      <c r="Z56" s="306"/>
      <c r="AA56" s="306"/>
      <c r="AB56" s="798"/>
      <c r="AC56" s="1299"/>
      <c r="AD56" s="1169"/>
      <c r="AE56" s="1299"/>
      <c r="AF56" s="1169"/>
      <c r="AG56" s="800"/>
      <c r="AH56" s="306"/>
      <c r="AI56" s="306"/>
      <c r="AJ56" s="306"/>
      <c r="AK56" s="728"/>
      <c r="AL56" s="1299"/>
      <c r="AM56" s="1169"/>
      <c r="AN56" s="1299"/>
      <c r="AO56" s="1169"/>
      <c r="AP56" s="766"/>
      <c r="AQ56" s="1316" t="s">
        <v>455</v>
      </c>
      <c r="AR56" s="68" t="e">
        <f ca="1">STRCHECKDATE(X58:AP58)</f>
        <v>#NAME?</v>
      </c>
      <c r="AS56" s="69"/>
      <c r="AT56" s="69" t="str">
        <f t="shared" si="2"/>
        <v/>
      </c>
      <c r="AU56" s="69"/>
      <c r="AV56" s="69"/>
      <c r="AW56" s="11">
        <v>11</v>
      </c>
    </row>
    <row r="57" spans="1:49" ht="0" hidden="1" customHeight="1">
      <c r="A57" s="731" t="s">
        <v>182</v>
      </c>
      <c r="B57" s="731" t="s">
        <v>183</v>
      </c>
      <c r="C57" s="731" t="s">
        <v>184</v>
      </c>
      <c r="D57" s="731" t="s">
        <v>185</v>
      </c>
      <c r="E57" s="1320"/>
      <c r="F57" s="1320"/>
      <c r="G57" s="1320"/>
      <c r="H57" s="1320"/>
      <c r="I57" s="1123"/>
      <c r="J57" s="1123"/>
      <c r="K57" s="1123"/>
      <c r="L57" s="1159"/>
      <c r="M57" s="754"/>
      <c r="Q57" s="1297"/>
      <c r="R57" s="1297"/>
      <c r="S57" s="68"/>
      <c r="T57" s="209"/>
      <c r="U57" s="65"/>
      <c r="V57" s="171"/>
      <c r="W57" s="171"/>
      <c r="X57" s="191"/>
      <c r="Y57" s="191"/>
      <c r="Z57" s="191"/>
      <c r="AA57" s="191"/>
      <c r="AB57" s="799" t="str">
        <f>AC55&amp;"-"&amp;AE55</f>
        <v>-</v>
      </c>
      <c r="AC57" s="1299"/>
      <c r="AD57" s="1169"/>
      <c r="AE57" s="1299"/>
      <c r="AF57" s="1169"/>
      <c r="AG57" s="778"/>
      <c r="AH57" s="191"/>
      <c r="AI57" s="191"/>
      <c r="AJ57" s="191"/>
      <c r="AK57" s="192" t="str">
        <f>AL55&amp;"-"&amp;AN55</f>
        <v>-</v>
      </c>
      <c r="AL57" s="1299"/>
      <c r="AM57" s="1169"/>
      <c r="AN57" s="1299"/>
      <c r="AO57" s="1169"/>
      <c r="AP57" s="767"/>
      <c r="AQ57" s="1317"/>
      <c r="AS57" s="69"/>
      <c r="AT57" s="69" t="str">
        <f t="shared" si="2"/>
        <v/>
      </c>
      <c r="AU57" s="69"/>
      <c r="AV57" s="69"/>
      <c r="AW57" s="11">
        <v>0</v>
      </c>
    </row>
    <row r="58" spans="1:49" ht="11.45" customHeight="1">
      <c r="A58" s="731" t="s">
        <v>182</v>
      </c>
      <c r="B58" s="731" t="s">
        <v>183</v>
      </c>
      <c r="C58" s="731" t="s">
        <v>184</v>
      </c>
      <c r="D58" s="731" t="s">
        <v>185</v>
      </c>
      <c r="E58" s="1320"/>
      <c r="F58" s="1320"/>
      <c r="G58" s="1320"/>
      <c r="H58" s="1320"/>
      <c r="I58" s="1123"/>
      <c r="J58" s="1123"/>
      <c r="K58" s="1159"/>
      <c r="L58" s="731"/>
      <c r="M58" s="754"/>
      <c r="Q58" s="1297"/>
      <c r="R58" s="1297"/>
      <c r="S58" s="122"/>
      <c r="T58" s="208"/>
      <c r="U58" s="742"/>
      <c r="V58" s="167" t="s">
        <v>456</v>
      </c>
      <c r="W58" s="213"/>
      <c r="X58" s="213"/>
      <c r="Y58" s="213"/>
      <c r="Z58" s="213"/>
      <c r="AA58" s="213"/>
      <c r="AB58" s="213"/>
      <c r="AC58" s="1299"/>
      <c r="AD58" s="1169"/>
      <c r="AE58" s="1299"/>
      <c r="AF58" s="1169"/>
      <c r="AG58" s="213"/>
      <c r="AH58" s="213"/>
      <c r="AI58" s="213"/>
      <c r="AJ58" s="213"/>
      <c r="AK58" s="213"/>
      <c r="AL58" s="1299"/>
      <c r="AM58" s="1169"/>
      <c r="AN58" s="1299"/>
      <c r="AO58" s="1169"/>
      <c r="AP58" s="190"/>
      <c r="AQ58" s="1317"/>
      <c r="AS58" s="69"/>
      <c r="AT58" s="69" t="str">
        <f t="shared" si="2"/>
        <v>Добавить наименование поставщика</v>
      </c>
      <c r="AU58" s="69"/>
      <c r="AV58" s="69"/>
      <c r="AW58" s="11">
        <v>11</v>
      </c>
    </row>
    <row r="59" spans="1:49" ht="11.45" customHeight="1">
      <c r="A59" s="731" t="s">
        <v>182</v>
      </c>
      <c r="B59" s="731" t="s">
        <v>183</v>
      </c>
      <c r="C59" s="731" t="s">
        <v>184</v>
      </c>
      <c r="D59" s="731" t="s">
        <v>185</v>
      </c>
      <c r="E59" s="1320"/>
      <c r="F59" s="1320"/>
      <c r="G59" s="1320"/>
      <c r="H59" s="1320"/>
      <c r="I59" s="1123"/>
      <c r="J59" s="1159"/>
      <c r="K59" s="731"/>
      <c r="L59" s="731"/>
      <c r="M59" s="754"/>
      <c r="Q59" s="1297"/>
      <c r="R59" s="1297"/>
      <c r="S59" s="122"/>
      <c r="T59" s="208"/>
      <c r="U59" s="742"/>
      <c r="V59" s="166" t="s">
        <v>417</v>
      </c>
      <c r="W59" s="213"/>
      <c r="X59" s="213"/>
      <c r="Y59" s="213"/>
      <c r="Z59" s="213"/>
      <c r="AA59" s="213"/>
      <c r="AB59" s="213"/>
      <c r="AC59" s="801"/>
      <c r="AD59" s="801"/>
      <c r="AE59" s="801"/>
      <c r="AF59" s="801"/>
      <c r="AG59" s="213"/>
      <c r="AH59" s="213"/>
      <c r="AI59" s="213"/>
      <c r="AJ59" s="213"/>
      <c r="AK59" s="213"/>
      <c r="AL59" s="213"/>
      <c r="AM59" s="213"/>
      <c r="AN59" s="213"/>
      <c r="AO59" s="213"/>
      <c r="AP59" s="190"/>
      <c r="AQ59" s="1318"/>
      <c r="AS59" s="69"/>
      <c r="AT59" s="69" t="str">
        <f t="shared" si="2"/>
        <v>Добавить вид теплоносителя (параметры теплоносителя)</v>
      </c>
      <c r="AU59" s="69"/>
      <c r="AV59" s="69"/>
      <c r="AW59" s="11">
        <v>11</v>
      </c>
    </row>
    <row r="60" spans="1:49" ht="11.45" customHeight="1">
      <c r="A60" s="731" t="s">
        <v>182</v>
      </c>
      <c r="B60" s="731" t="s">
        <v>183</v>
      </c>
      <c r="C60" s="731" t="s">
        <v>184</v>
      </c>
      <c r="D60" s="731" t="s">
        <v>185</v>
      </c>
      <c r="E60" s="1320"/>
      <c r="F60" s="1320"/>
      <c r="G60" s="1320"/>
      <c r="H60" s="1320"/>
      <c r="I60" s="1159"/>
      <c r="J60" s="731"/>
      <c r="K60" s="731"/>
      <c r="L60" s="731"/>
      <c r="M60" s="754"/>
      <c r="Q60" s="1297"/>
      <c r="R60" s="122"/>
      <c r="S60" s="122"/>
      <c r="T60" s="208"/>
      <c r="U60" s="742"/>
      <c r="V60" s="211" t="s">
        <v>418</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182</v>
      </c>
      <c r="B61" s="731" t="s">
        <v>183</v>
      </c>
      <c r="C61" s="731" t="s">
        <v>184</v>
      </c>
      <c r="D61" s="731" t="s">
        <v>185</v>
      </c>
      <c r="E61" s="1320"/>
      <c r="F61" s="1320"/>
      <c r="G61" s="1320"/>
      <c r="H61" s="1319"/>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182</v>
      </c>
      <c r="B62" s="774" t="s">
        <v>183</v>
      </c>
      <c r="C62" s="774" t="s">
        <v>184</v>
      </c>
      <c r="D62" s="774"/>
      <c r="E62" s="1320"/>
      <c r="F62" s="1320"/>
      <c r="G62" s="1319"/>
      <c r="H62" s="774"/>
      <c r="I62" s="774"/>
      <c r="J62" s="774"/>
      <c r="K62" s="774"/>
      <c r="L62" s="774"/>
      <c r="M62" s="775"/>
      <c r="N62" s="776"/>
      <c r="O62" s="776"/>
      <c r="P62" s="203"/>
      <c r="Q62" s="104"/>
      <c r="R62" s="755"/>
      <c r="S62" s="104"/>
      <c r="T62" s="104"/>
      <c r="U62" s="760"/>
      <c r="V62" s="762" t="s">
        <v>420</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182</v>
      </c>
      <c r="B63" s="774" t="s">
        <v>183</v>
      </c>
      <c r="C63" s="774"/>
      <c r="D63" s="774"/>
      <c r="E63" s="1320"/>
      <c r="F63" s="1319"/>
      <c r="G63" s="774"/>
      <c r="H63" s="774"/>
      <c r="I63" s="774"/>
      <c r="J63" s="774"/>
      <c r="K63" s="774"/>
      <c r="L63" s="774"/>
      <c r="M63" s="775"/>
      <c r="N63" s="777"/>
      <c r="O63" s="777"/>
      <c r="P63" s="203"/>
      <c r="Q63" s="104"/>
      <c r="R63" s="755"/>
      <c r="S63" s="104"/>
      <c r="T63" s="104"/>
      <c r="U63" s="760"/>
      <c r="V63" s="762" t="s">
        <v>421</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182</v>
      </c>
      <c r="B64" s="774"/>
      <c r="C64" s="774"/>
      <c r="D64" s="774"/>
      <c r="E64" s="1319"/>
      <c r="F64" s="774"/>
      <c r="G64" s="774"/>
      <c r="H64" s="774"/>
      <c r="I64" s="774"/>
      <c r="J64" s="774"/>
      <c r="K64" s="774"/>
      <c r="L64" s="774"/>
      <c r="M64" s="775"/>
      <c r="N64" s="777"/>
      <c r="O64" s="777"/>
      <c r="P64" s="203"/>
      <c r="Q64" s="104"/>
      <c r="R64" s="755"/>
      <c r="S64" s="104"/>
      <c r="T64" s="104"/>
      <c r="U64" s="760"/>
      <c r="V64" s="762" t="s">
        <v>422</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450</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W67" s="11">
        <v>34</v>
      </c>
    </row>
    <row r="68" spans="1:49" ht="21" customHeight="1">
      <c r="P68" s="11"/>
      <c r="V68" s="1292"/>
      <c r="W68" s="1292"/>
      <c r="X68" s="1292"/>
      <c r="Y68" s="1292"/>
      <c r="Z68" s="1292"/>
      <c r="AA68" s="1292"/>
      <c r="AB68" s="1292"/>
      <c r="AC68" s="1292"/>
      <c r="AD68" s="1292"/>
      <c r="AE68" s="1292"/>
      <c r="AF68" s="1292"/>
      <c r="AG68" s="1292"/>
      <c r="AH68" s="1292"/>
      <c r="AI68" s="1292"/>
      <c r="AJ68" s="1292"/>
      <c r="AK68" s="1292"/>
      <c r="AL68" s="1292"/>
      <c r="AM68" s="1292"/>
      <c r="AN68" s="1292"/>
      <c r="AO68" s="1292"/>
      <c r="AP68" s="1292"/>
      <c r="AQ68" s="1292"/>
      <c r="AW68" s="11">
        <v>20</v>
      </c>
    </row>
    <row r="69" spans="1:49" ht="14.65" customHeight="1">
      <c r="P69" s="11"/>
      <c r="AW69" s="11">
        <v>14</v>
      </c>
    </row>
    <row r="70" spans="1:49" ht="28.5" customHeight="1">
      <c r="P70" s="11"/>
      <c r="V70" s="1292"/>
      <c r="W70" s="1292"/>
      <c r="X70" s="1292"/>
      <c r="Y70" s="1292"/>
      <c r="Z70" s="1292"/>
      <c r="AA70" s="1292"/>
      <c r="AB70" s="1292"/>
      <c r="AC70" s="1292"/>
      <c r="AD70" s="1292"/>
      <c r="AE70" s="1292"/>
      <c r="AF70" s="1292"/>
      <c r="AG70" s="1292"/>
      <c r="AH70" s="1292"/>
      <c r="AI70" s="1292"/>
      <c r="AJ70" s="1292"/>
      <c r="AK70" s="1292"/>
      <c r="AL70" s="1292"/>
      <c r="AM70" s="1292"/>
      <c r="AN70" s="1292"/>
      <c r="AO70" s="1292"/>
      <c r="AP70" s="1292"/>
      <c r="AQ70" s="1292"/>
      <c r="AW70" s="11">
        <v>27</v>
      </c>
    </row>
    <row r="71" spans="1:49" ht="18.75" customHeight="1">
      <c r="P71" s="11"/>
      <c r="V71" s="1292"/>
      <c r="W71" s="1292"/>
      <c r="X71" s="1292"/>
      <c r="Y71" s="1292"/>
      <c r="Z71" s="1292"/>
      <c r="AA71" s="1292"/>
      <c r="AB71" s="1292"/>
      <c r="AC71" s="1292"/>
      <c r="AD71" s="1292"/>
      <c r="AE71" s="1292"/>
      <c r="AF71" s="1292"/>
      <c r="AG71" s="1292"/>
      <c r="AH71" s="1292"/>
      <c r="AI71" s="1292"/>
      <c r="AJ71" s="1292"/>
      <c r="AK71" s="1292"/>
      <c r="AL71" s="1292"/>
      <c r="AM71" s="1292"/>
      <c r="AN71" s="1292"/>
      <c r="AO71" s="1292"/>
      <c r="AP71" s="1292"/>
      <c r="AQ71" s="1292"/>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PP108.OPEN.INFO.BALANCE.COLDVSNA.EIAS</v>
      </c>
      <c r="F2" s="159"/>
      <c r="G2" s="33"/>
      <c r="H2" s="33"/>
      <c r="I2" s="33"/>
      <c r="J2" s="506"/>
      <c r="K2" s="33"/>
      <c r="Q2" s="8">
        <v>14</v>
      </c>
    </row>
    <row r="3" spans="1:17" ht="14.65" customHeight="1">
      <c r="E3" s="144" t="str">
        <f>version</f>
        <v>Версия отчёта: 1.1.6</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23"/>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4"/>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25" t="s">
        <v>20</v>
      </c>
      <c r="D11" s="12"/>
      <c r="E11" s="222" t="s">
        <v>21</v>
      </c>
      <c r="F11" s="941" t="s">
        <v>22</v>
      </c>
      <c r="G11" s="14"/>
      <c r="H11" s="442" t="s">
        <v>23</v>
      </c>
      <c r="J11" s="63" t="s">
        <v>24</v>
      </c>
      <c r="Q11" s="11">
        <v>0</v>
      </c>
    </row>
    <row r="12" spans="1:17" ht="22.5" hidden="1" customHeight="1">
      <c r="A12" s="1125"/>
      <c r="D12" s="12"/>
      <c r="E12" s="222" t="s">
        <v>25</v>
      </c>
      <c r="F12" s="941"/>
      <c r="G12" s="10"/>
      <c r="J12" s="63" t="s">
        <v>26</v>
      </c>
      <c r="Q12" s="11">
        <v>0</v>
      </c>
    </row>
    <row r="13" spans="1:17" s="11" customFormat="1" ht="22.5" hidden="1" customHeight="1">
      <c r="A13" s="451" t="s">
        <v>27</v>
      </c>
      <c r="B13" s="30"/>
      <c r="C13" s="9"/>
      <c r="D13" s="12"/>
      <c r="E13" s="975" t="s">
        <v>28</v>
      </c>
      <c r="F13" s="941" t="s">
        <v>22</v>
      </c>
      <c r="G13" s="14"/>
      <c r="H13"/>
      <c r="I13" s="234"/>
      <c r="J13" s="506" t="s">
        <v>29</v>
      </c>
      <c r="Q13" s="11">
        <v>0</v>
      </c>
    </row>
    <row r="14" spans="1:17" s="11" customFormat="1" ht="27" customHeight="1">
      <c r="A14" s="451" t="s">
        <v>30</v>
      </c>
      <c r="B14" s="30"/>
      <c r="C14" s="9"/>
      <c r="D14" s="12"/>
      <c r="E14" s="222" t="s">
        <v>31</v>
      </c>
      <c r="F14" s="106">
        <v>2025</v>
      </c>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1" customFormat="1" ht="19.5" hidden="1" customHeight="1">
      <c r="A16" s="448"/>
      <c r="B16" s="30"/>
      <c r="C16" s="9"/>
      <c r="D16" s="12"/>
      <c r="E16" s="222" t="s">
        <v>36</v>
      </c>
      <c r="F16" s="202"/>
      <c r="G16" s="10"/>
      <c r="H16" s="442" t="s">
        <v>23</v>
      </c>
      <c r="I16" s="234"/>
      <c r="J16" s="63"/>
      <c r="Q16" s="11">
        <v>20</v>
      </c>
    </row>
    <row r="17" spans="1:17" ht="21" customHeight="1">
      <c r="D17" s="12"/>
      <c r="E17" s="222" t="s">
        <v>37</v>
      </c>
      <c r="F17" s="119" t="s">
        <v>38</v>
      </c>
      <c r="G17" s="10"/>
      <c r="H17" s="442" t="s">
        <v>23</v>
      </c>
      <c r="Q17" s="11">
        <v>20</v>
      </c>
    </row>
    <row r="18" spans="1:17" ht="25.5" hidden="1" customHeight="1">
      <c r="D18" s="12"/>
      <c r="E18" s="975" t="s">
        <v>39</v>
      </c>
      <c r="F18" s="942"/>
      <c r="G18" s="10"/>
      <c r="I18" s="443"/>
      <c r="J18" s="1124"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24"/>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hidden="1" customHeight="1">
      <c r="A36" s="509"/>
      <c r="D36" s="16"/>
      <c r="E36" s="222" t="s">
        <v>52</v>
      </c>
      <c r="F36" s="202"/>
      <c r="G36" s="14"/>
      <c r="Q36" s="11">
        <v>0</v>
      </c>
    </row>
    <row r="37" spans="1:17" ht="21" customHeight="1">
      <c r="A37" s="509"/>
      <c r="D37" s="16"/>
      <c r="E37" s="222" t="s">
        <v>53</v>
      </c>
      <c r="F37" s="202" t="s">
        <v>54</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55</v>
      </c>
      <c r="F39" s="408" t="s">
        <v>19</v>
      </c>
      <c r="G39" s="10"/>
      <c r="H39" s="442" t="s">
        <v>23</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56</v>
      </c>
      <c r="F43" s="408" t="s">
        <v>19</v>
      </c>
      <c r="G43" s="10"/>
      <c r="I43" s="234"/>
      <c r="J43" s="63"/>
      <c r="Q43" s="11">
        <v>0</v>
      </c>
    </row>
    <row r="44" spans="1:17" s="11" customFormat="1" ht="27" hidden="1" customHeight="1">
      <c r="A44" s="448"/>
      <c r="B44" s="30"/>
      <c r="C44" s="9"/>
      <c r="D44" s="12"/>
      <c r="E44" s="222" t="s">
        <v>57</v>
      </c>
      <c r="F44" s="1016"/>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58</v>
      </c>
      <c r="F46" s="408" t="s">
        <v>19</v>
      </c>
      <c r="G46" s="10"/>
      <c r="H46" s="11"/>
      <c r="I46" s="234"/>
      <c r="J46" s="63"/>
      <c r="Q46" s="136">
        <v>0</v>
      </c>
    </row>
    <row r="47" spans="1:17" s="11" customFormat="1" ht="24.75" hidden="1" customHeight="1">
      <c r="A47" s="448"/>
      <c r="B47" s="30"/>
      <c r="C47" s="9"/>
      <c r="D47" s="12"/>
      <c r="E47" s="222" t="s">
        <v>59</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8"/>
      <c r="G49" s="10"/>
      <c r="Q49" s="11">
        <v>0</v>
      </c>
    </row>
    <row r="50" spans="1:17" s="136" customFormat="1" ht="6" customHeight="1">
      <c r="A50" s="449"/>
      <c r="B50" s="132"/>
      <c r="C50" s="133"/>
      <c r="D50" s="139"/>
      <c r="E50" s="137"/>
      <c r="F50" s="140"/>
      <c r="G50" s="14"/>
      <c r="H50" s="11"/>
      <c r="I50" s="234"/>
      <c r="J50" s="63"/>
      <c r="Q50" s="136">
        <v>0</v>
      </c>
    </row>
    <row r="51" spans="1:17" s="11" customFormat="1" ht="28.5" customHeight="1">
      <c r="A51" s="450"/>
      <c r="B51" s="30"/>
      <c r="C51" s="9"/>
      <c r="D51" s="234"/>
      <c r="E51" s="222" t="s">
        <v>60</v>
      </c>
      <c r="F51" s="408" t="s">
        <v>19</v>
      </c>
      <c r="G51" s="58"/>
      <c r="I51" s="301"/>
      <c r="J51" s="63"/>
      <c r="P51" s="302"/>
      <c r="Q51" s="11">
        <v>0</v>
      </c>
    </row>
    <row r="52" spans="1:17" s="136" customFormat="1" ht="6" customHeight="1">
      <c r="A52" s="449"/>
      <c r="B52" s="132"/>
      <c r="C52" s="133"/>
      <c r="D52" s="139"/>
      <c r="E52" s="137"/>
      <c r="F52" s="140"/>
      <c r="G52" s="14"/>
      <c r="H52" s="11"/>
      <c r="I52" s="234"/>
      <c r="J52" s="404"/>
      <c r="Q52" s="136">
        <v>0</v>
      </c>
    </row>
    <row r="53" spans="1:17" s="11" customFormat="1" ht="27" customHeight="1">
      <c r="A53" s="450"/>
      <c r="B53" s="30"/>
      <c r="C53" s="9"/>
      <c r="D53" s="234"/>
      <c r="E53" s="222" t="s">
        <v>61</v>
      </c>
      <c r="F53" s="619" t="s">
        <v>62</v>
      </c>
      <c r="G53" s="58"/>
      <c r="I53" s="301"/>
      <c r="J53" s="63"/>
      <c r="P53" s="302"/>
      <c r="Q53" s="11">
        <v>0</v>
      </c>
    </row>
    <row r="54" spans="1:17" s="11" customFormat="1" ht="27" customHeight="1">
      <c r="A54" s="450"/>
      <c r="B54" s="30"/>
      <c r="C54" s="9"/>
      <c r="D54" s="234"/>
      <c r="E54" s="222" t="s">
        <v>63</v>
      </c>
      <c r="F54" s="1120">
        <v>46112.634340277778</v>
      </c>
      <c r="G54" s="58"/>
      <c r="I54" s="301"/>
      <c r="J54" s="63"/>
      <c r="P54" s="302"/>
      <c r="Q54" s="11">
        <v>0</v>
      </c>
    </row>
    <row r="55" spans="1:17" s="136" customFormat="1" ht="6" customHeight="1">
      <c r="A55" s="449"/>
      <c r="B55" s="132"/>
      <c r="C55" s="133"/>
      <c r="D55" s="139"/>
      <c r="E55" s="137"/>
      <c r="F55" s="140"/>
      <c r="G55" s="14"/>
      <c r="H55" s="11"/>
      <c r="I55" s="234"/>
      <c r="J55" s="404"/>
      <c r="Q55" s="136">
        <v>0</v>
      </c>
    </row>
    <row r="56" spans="1:17" s="11" customFormat="1" ht="25.5" customHeight="1">
      <c r="A56" s="450"/>
      <c r="B56" s="30"/>
      <c r="C56" s="9"/>
      <c r="D56" s="234"/>
      <c r="E56" s="222" t="s">
        <v>64</v>
      </c>
      <c r="F56" s="619" t="s">
        <v>19</v>
      </c>
      <c r="G56" s="58"/>
      <c r="I56" s="301"/>
      <c r="J56" s="63"/>
      <c r="P56" s="302"/>
      <c r="Q56" s="11">
        <v>0</v>
      </c>
    </row>
    <row r="57" spans="1:17" s="136" customFormat="1" ht="6" customHeight="1">
      <c r="A57" s="449"/>
      <c r="B57" s="132"/>
      <c r="C57" s="133"/>
      <c r="D57" s="139"/>
      <c r="E57" s="137"/>
      <c r="F57" s="140"/>
      <c r="G57" s="14"/>
      <c r="H57" s="11"/>
      <c r="I57" s="234"/>
      <c r="J57" s="404"/>
      <c r="Q57" s="136">
        <v>0</v>
      </c>
    </row>
    <row r="58" spans="1:17" s="11" customFormat="1" ht="15" customHeight="1">
      <c r="A58" s="450"/>
      <c r="B58" s="30"/>
      <c r="C58" s="9"/>
      <c r="D58" s="234"/>
      <c r="E58" s="222" t="s">
        <v>65</v>
      </c>
      <c r="F58" s="619" t="s">
        <v>62</v>
      </c>
      <c r="G58" s="58"/>
      <c r="I58" s="301"/>
      <c r="J58" s="63"/>
      <c r="P58" s="302"/>
      <c r="Q58" s="11">
        <v>0</v>
      </c>
    </row>
    <row r="59" spans="1:17" s="11" customFormat="1" ht="75"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9" t="s">
        <v>62</v>
      </c>
      <c r="G59" s="58"/>
      <c r="I59" s="301"/>
      <c r="J59" s="63"/>
      <c r="P59" s="302"/>
      <c r="Q59" s="11">
        <v>0</v>
      </c>
    </row>
    <row r="60" spans="1:17" s="11" customFormat="1" ht="15" customHeight="1">
      <c r="A60" s="450"/>
      <c r="B60" s="30"/>
      <c r="C60" s="9"/>
      <c r="D60" s="234"/>
      <c r="E60" s="222" t="s">
        <v>66</v>
      </c>
      <c r="F60" s="202" t="s">
        <v>67</v>
      </c>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9.25"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9"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4">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 type="list" allowBlank="1" showInputMessage="1" showErrorMessage="1" errorTitle="Ошибка" error="Выберите значение из списка" prompt="Выберите значение из списка" sqref="F16" xr:uid="{00000000-0002-0000-0100-00000D000000}">
      <formula1>kind_of_type_price</formula1>
    </dataValidation>
  </dataValidations>
  <hyperlinks>
    <hyperlink ref="H11" location="Титульный!H9" tooltip="Помощь по работе с полями отчётной формы" display="Как заполнить?" xr:uid="{00000000-0004-0000-0100-000000000000}"/>
    <hyperlink ref="H16" location="Титульный!H9" tooltip="Помощь по работе с полями отчётной формы" display="Как заполнить?" xr:uid="{00000000-0004-0000-0100-000001000000}"/>
    <hyperlink ref="H17" location="Титульный!H9" tooltip="Помощь по работе с полями отчётной формы" display="Как заполнить?" xr:uid="{00000000-0004-0000-0100-000002000000}"/>
    <hyperlink ref="H39" location="Титульный!H9" tooltip="Помощь по работе с полями отчётной формы" display="Как заполнить?" xr:uid="{00000000-0004-0000-0100-000003000000}"/>
    <hyperlink ref="H62" location="Титульный!H9" tooltip="Помощь по работе с полями отчётной формы" display="Как заполнить?"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93">
        <v>1</v>
      </c>
      <c r="F2" s="769"/>
      <c r="G2" s="769"/>
      <c r="H2" s="769"/>
      <c r="I2" s="769"/>
      <c r="J2" s="769"/>
      <c r="K2" s="769"/>
      <c r="L2" s="770"/>
      <c r="M2" s="426"/>
      <c r="N2" s="426"/>
      <c r="O2" s="426"/>
      <c r="Q2" s="62"/>
      <c r="R2" s="207"/>
      <c r="S2" s="709" t="e">
        <f>INDEX(PT_DIFFERENTIATION_NUM_NTAR,MATCH(A2,PT_DIFFERENTIATION_NTAR_ID,0))</f>
        <v>#N/A</v>
      </c>
      <c r="T2" s="67" t="s">
        <v>131</v>
      </c>
      <c r="U2" s="171"/>
      <c r="V2" s="1288"/>
      <c r="W2" s="1288"/>
      <c r="X2" s="1288"/>
      <c r="Y2" s="1288"/>
      <c r="Z2" s="1288"/>
      <c r="AA2" s="1289"/>
      <c r="AB2" s="1287" t="e">
        <f>INDEX(PT_DIFFERENTIATION_NTAR,MATCH(A2,PT_DIFFERENTIATION_NTAR_ID,0))</f>
        <v>#N/A</v>
      </c>
      <c r="AC2" s="1288"/>
      <c r="AD2" s="1288"/>
      <c r="AE2" s="1288"/>
      <c r="AF2" s="1288"/>
      <c r="AG2" s="1288"/>
      <c r="AH2" s="1288"/>
      <c r="AI2" s="1288"/>
      <c r="AJ2" s="1288"/>
      <c r="AK2" s="1288"/>
      <c r="AL2" s="1288"/>
      <c r="AM2" s="1288"/>
      <c r="AN2" s="1288"/>
      <c r="AO2" s="1288"/>
      <c r="AP2" s="1288"/>
      <c r="AQ2" s="1288"/>
      <c r="AR2" s="1288"/>
      <c r="AS2" s="1288"/>
      <c r="AT2" s="1289"/>
      <c r="AU2" s="729" t="s">
        <v>402</v>
      </c>
      <c r="AW2" s="69"/>
      <c r="AX2" s="69" t="str">
        <f t="shared" ref="AX2:AX8" si="0">IF(T2="","",T2)</f>
        <v>Наименование тарифа</v>
      </c>
      <c r="AY2" s="69"/>
      <c r="AZ2" s="69"/>
      <c r="BA2" s="11">
        <v>0</v>
      </c>
    </row>
    <row r="3" spans="1:53" ht="21" hidden="1" customHeight="1">
      <c r="A3" s="769"/>
      <c r="B3" s="769"/>
      <c r="C3" s="769"/>
      <c r="D3" s="769"/>
      <c r="E3" s="1294"/>
      <c r="F3" s="1293">
        <v>1</v>
      </c>
      <c r="G3" s="769"/>
      <c r="H3" s="769"/>
      <c r="I3" s="769"/>
      <c r="J3" s="769"/>
      <c r="K3" s="769"/>
      <c r="L3" s="770"/>
      <c r="M3" s="426"/>
      <c r="N3" s="426"/>
      <c r="O3" s="426"/>
      <c r="P3" s="301"/>
      <c r="Q3" s="802"/>
      <c r="R3" s="205"/>
      <c r="S3" s="709" t="e">
        <f>INDEX(PT_DIFFERENTIATION_NUM_TER,MATCH(B3,PT_DIFFERENTIATION_TER_ID,0))</f>
        <v>#N/A</v>
      </c>
      <c r="T3" s="177" t="s">
        <v>403</v>
      </c>
      <c r="U3" s="171"/>
      <c r="V3" s="1288"/>
      <c r="W3" s="1288"/>
      <c r="X3" s="1288"/>
      <c r="Y3" s="1288"/>
      <c r="Z3" s="1288"/>
      <c r="AA3" s="1289"/>
      <c r="AB3" s="1287" t="e">
        <f>INDEX(PT_DIFFERENTIATION_TER,MATCH(B3,PT_DIFFERENTIATION_TER_ID,0))</f>
        <v>#N/A</v>
      </c>
      <c r="AC3" s="1288"/>
      <c r="AD3" s="1288"/>
      <c r="AE3" s="1288"/>
      <c r="AF3" s="1288"/>
      <c r="AG3" s="1288"/>
      <c r="AH3" s="1288"/>
      <c r="AI3" s="1288"/>
      <c r="AJ3" s="1288"/>
      <c r="AK3" s="1288"/>
      <c r="AL3" s="1288"/>
      <c r="AM3" s="1288"/>
      <c r="AN3" s="1288"/>
      <c r="AO3" s="1288"/>
      <c r="AP3" s="1288"/>
      <c r="AQ3" s="1288"/>
      <c r="AR3" s="1288"/>
      <c r="AS3" s="1288"/>
      <c r="AT3" s="1289"/>
      <c r="AU3" s="729" t="s">
        <v>404</v>
      </c>
      <c r="AW3" s="69"/>
      <c r="AX3" s="69" t="str">
        <f t="shared" si="0"/>
        <v>Территория действия тарифа</v>
      </c>
      <c r="AY3" s="69"/>
      <c r="AZ3" s="69"/>
      <c r="BA3" s="11">
        <v>0</v>
      </c>
    </row>
    <row r="4" spans="1:53" ht="22.5" hidden="1" customHeight="1">
      <c r="A4" s="769"/>
      <c r="B4" s="769"/>
      <c r="C4" s="769"/>
      <c r="D4" s="769"/>
      <c r="E4" s="1294"/>
      <c r="F4" s="1294"/>
      <c r="G4" s="1293">
        <v>1</v>
      </c>
      <c r="H4" s="769"/>
      <c r="I4" s="769"/>
      <c r="J4" s="769"/>
      <c r="K4" s="769"/>
      <c r="L4" s="770"/>
      <c r="M4" s="426"/>
      <c r="N4" s="426"/>
      <c r="O4" s="426"/>
      <c r="P4" s="131"/>
      <c r="Q4" s="802"/>
      <c r="R4" s="205"/>
      <c r="S4" s="709" t="e">
        <f>INDEX(PT_DIFFERENTIATION_NUM_CS,MATCH(C4,PT_DIFFERENTIATION_CS_ID,0))</f>
        <v>#N/A</v>
      </c>
      <c r="T4" s="178" t="s">
        <v>405</v>
      </c>
      <c r="U4" s="171"/>
      <c r="V4" s="1288"/>
      <c r="W4" s="1288"/>
      <c r="X4" s="1288"/>
      <c r="Y4" s="1288"/>
      <c r="Z4" s="1288"/>
      <c r="AA4" s="1289"/>
      <c r="AB4" s="1287" t="e">
        <f>INDEX(PT_DIFFERENTIATION_CS,MATCH(C4,PT_DIFFERENTIATION_CS_ID,0))</f>
        <v>#N/A</v>
      </c>
      <c r="AC4" s="1288"/>
      <c r="AD4" s="1288"/>
      <c r="AE4" s="1288"/>
      <c r="AF4" s="1288"/>
      <c r="AG4" s="1288"/>
      <c r="AH4" s="1288"/>
      <c r="AI4" s="1288"/>
      <c r="AJ4" s="1288"/>
      <c r="AK4" s="1288"/>
      <c r="AL4" s="1288"/>
      <c r="AM4" s="1288"/>
      <c r="AN4" s="1288"/>
      <c r="AO4" s="1288"/>
      <c r="AP4" s="1288"/>
      <c r="AQ4" s="1288"/>
      <c r="AR4" s="1288"/>
      <c r="AS4" s="1288"/>
      <c r="AT4" s="1289"/>
      <c r="AU4" s="729" t="s">
        <v>406</v>
      </c>
      <c r="AW4" s="69"/>
      <c r="AX4" s="69" t="str">
        <f t="shared" si="0"/>
        <v xml:space="preserve">Наименование системы теплоснабжения </v>
      </c>
      <c r="AY4" s="69"/>
      <c r="AZ4" s="69"/>
      <c r="BA4" s="11">
        <v>0</v>
      </c>
    </row>
    <row r="5" spans="1:53" ht="21" hidden="1" customHeight="1">
      <c r="A5" s="769"/>
      <c r="B5" s="769"/>
      <c r="C5" s="769"/>
      <c r="D5" s="769"/>
      <c r="E5" s="1294"/>
      <c r="F5" s="1294"/>
      <c r="G5" s="1294"/>
      <c r="H5" s="1293">
        <v>1</v>
      </c>
      <c r="I5" s="769"/>
      <c r="J5" s="769"/>
      <c r="K5" s="769"/>
      <c r="L5" s="770"/>
      <c r="M5" s="426"/>
      <c r="N5" s="426"/>
      <c r="O5" s="426"/>
      <c r="P5" s="131"/>
      <c r="Q5" s="802"/>
      <c r="R5" s="205"/>
      <c r="S5" s="709" t="e">
        <f>INDEX(PT_DIFFERENTIATION_NUM_IST_TE,MATCH(D5,PT_DIFFERENTIATION_IST_TE_ID,0))</f>
        <v>#N/A</v>
      </c>
      <c r="T5" s="179" t="s">
        <v>407</v>
      </c>
      <c r="U5" s="171"/>
      <c r="V5" s="1288"/>
      <c r="W5" s="1288"/>
      <c r="X5" s="1288"/>
      <c r="Y5" s="1288"/>
      <c r="Z5" s="1288"/>
      <c r="AA5" s="1289"/>
      <c r="AB5" s="1287" t="e">
        <f>INDEX(PT_DIFFERENTIATION_IST_TE,MATCH(D5,PT_DIFFERENTIATION_IST_TE_ID,0))</f>
        <v>#N/A</v>
      </c>
      <c r="AC5" s="1288"/>
      <c r="AD5" s="1288"/>
      <c r="AE5" s="1288"/>
      <c r="AF5" s="1288"/>
      <c r="AG5" s="1288"/>
      <c r="AH5" s="1288"/>
      <c r="AI5" s="1288"/>
      <c r="AJ5" s="1288"/>
      <c r="AK5" s="1288"/>
      <c r="AL5" s="1288"/>
      <c r="AM5" s="1288"/>
      <c r="AN5" s="1288"/>
      <c r="AO5" s="1288"/>
      <c r="AP5" s="1288"/>
      <c r="AQ5" s="1288"/>
      <c r="AR5" s="1288"/>
      <c r="AS5" s="1288"/>
      <c r="AT5" s="1289"/>
      <c r="AU5" s="729" t="s">
        <v>408</v>
      </c>
      <c r="AW5" s="69"/>
      <c r="AX5" s="69" t="str">
        <f t="shared" si="0"/>
        <v xml:space="preserve">Источник тепловой энергии  </v>
      </c>
      <c r="AY5" s="69"/>
      <c r="AZ5" s="69"/>
      <c r="BA5" s="11">
        <v>0</v>
      </c>
    </row>
    <row r="6" spans="1:53" s="68" customFormat="1" ht="0.75" hidden="1" customHeight="1">
      <c r="A6" s="145"/>
      <c r="B6" s="145"/>
      <c r="C6" s="145"/>
      <c r="D6" s="145"/>
      <c r="E6" s="1294"/>
      <c r="F6" s="1294"/>
      <c r="G6" s="1294"/>
      <c r="H6" s="1294"/>
      <c r="I6" s="1295" t="e">
        <f>S5&amp;".1"</f>
        <v>#N/A</v>
      </c>
      <c r="J6" s="145"/>
      <c r="K6" s="145"/>
      <c r="L6" s="346" t="s">
        <v>409</v>
      </c>
      <c r="M6" s="290"/>
      <c r="N6" s="290"/>
      <c r="O6" s="290"/>
      <c r="P6" s="1297">
        <v>1</v>
      </c>
      <c r="Q6" s="122"/>
      <c r="R6" s="208"/>
      <c r="S6" s="362"/>
      <c r="T6" s="779"/>
      <c r="U6" s="780"/>
      <c r="V6" s="1325"/>
      <c r="W6" s="1325"/>
      <c r="X6" s="1325"/>
      <c r="Y6" s="1325"/>
      <c r="Z6" s="1325"/>
      <c r="AA6" s="1326"/>
      <c r="AB6" s="1324"/>
      <c r="AC6" s="1325"/>
      <c r="AD6" s="1325"/>
      <c r="AE6" s="1325"/>
      <c r="AF6" s="1325"/>
      <c r="AG6" s="1325"/>
      <c r="AH6" s="1325"/>
      <c r="AI6" s="1325"/>
      <c r="AJ6" s="1325"/>
      <c r="AK6" s="1325"/>
      <c r="AL6" s="1325"/>
      <c r="AM6" s="1325"/>
      <c r="AN6" s="1325"/>
      <c r="AO6" s="1325"/>
      <c r="AP6" s="1325"/>
      <c r="AQ6" s="1325"/>
      <c r="AR6" s="1325"/>
      <c r="AS6" s="1325"/>
      <c r="AT6" s="1326"/>
      <c r="AU6" s="781"/>
      <c r="AW6" s="69"/>
      <c r="AX6" s="69" t="str">
        <f t="shared" si="0"/>
        <v/>
      </c>
      <c r="AY6" s="69"/>
      <c r="AZ6" s="69"/>
      <c r="BA6" s="68">
        <v>0</v>
      </c>
    </row>
    <row r="7" spans="1:53" s="68" customFormat="1" ht="0.75" hidden="1" customHeight="1">
      <c r="A7" s="145"/>
      <c r="B7" s="145"/>
      <c r="C7" s="145"/>
      <c r="D7" s="145"/>
      <c r="E7" s="1294"/>
      <c r="F7" s="1294"/>
      <c r="G7" s="1294"/>
      <c r="H7" s="1294"/>
      <c r="I7" s="1296"/>
      <c r="J7" s="1295" t="e">
        <f>S5&amp;".1"</f>
        <v>#N/A</v>
      </c>
      <c r="K7" s="145"/>
      <c r="L7" s="346"/>
      <c r="M7" s="290"/>
      <c r="N7" s="290"/>
      <c r="O7" s="290"/>
      <c r="P7" s="1297"/>
      <c r="Q7" s="1297">
        <v>1</v>
      </c>
      <c r="R7" s="209"/>
      <c r="S7" s="362"/>
      <c r="T7" s="794"/>
      <c r="U7" s="780"/>
      <c r="V7" s="1325"/>
      <c r="W7" s="1325"/>
      <c r="X7" s="1325"/>
      <c r="Y7" s="1325"/>
      <c r="Z7" s="1325"/>
      <c r="AA7" s="1326"/>
      <c r="AB7" s="1324"/>
      <c r="AC7" s="1325"/>
      <c r="AD7" s="1325"/>
      <c r="AE7" s="1325"/>
      <c r="AF7" s="1325"/>
      <c r="AG7" s="1325"/>
      <c r="AH7" s="1325"/>
      <c r="AI7" s="1325"/>
      <c r="AJ7" s="1325"/>
      <c r="AK7" s="1325"/>
      <c r="AL7" s="1325"/>
      <c r="AM7" s="1325"/>
      <c r="AN7" s="1325"/>
      <c r="AO7" s="1325"/>
      <c r="AP7" s="1325"/>
      <c r="AQ7" s="1325"/>
      <c r="AR7" s="1325"/>
      <c r="AS7" s="1325"/>
      <c r="AT7" s="1326"/>
      <c r="AU7" s="781"/>
      <c r="AW7" s="69"/>
      <c r="AX7" s="69" t="str">
        <f t="shared" si="0"/>
        <v/>
      </c>
      <c r="AY7" s="69"/>
      <c r="AZ7" s="69"/>
      <c r="BA7" s="68">
        <v>0</v>
      </c>
    </row>
    <row r="8" spans="1:53" ht="21" hidden="1" customHeight="1">
      <c r="A8" s="769"/>
      <c r="B8" s="769"/>
      <c r="C8" s="769"/>
      <c r="D8" s="769"/>
      <c r="E8" s="1294"/>
      <c r="F8" s="1294"/>
      <c r="G8" s="1294"/>
      <c r="H8" s="1294"/>
      <c r="I8" s="1296"/>
      <c r="J8" s="1296"/>
      <c r="K8" s="1295" t="e">
        <f>S5&amp;".1"</f>
        <v>#N/A</v>
      </c>
      <c r="L8" s="770"/>
      <c r="P8" s="1297"/>
      <c r="Q8" s="1297"/>
      <c r="R8" s="1353">
        <v>1</v>
      </c>
      <c r="S8" s="1350" t="e">
        <f>$K8</f>
        <v>#N/A</v>
      </c>
      <c r="T8" s="1347"/>
      <c r="U8" s="171"/>
      <c r="V8" s="306"/>
      <c r="W8" s="728"/>
      <c r="X8" s="1298"/>
      <c r="Y8" s="1169" t="s">
        <v>62</v>
      </c>
      <c r="Z8" s="1298"/>
      <c r="AA8" s="1169" t="s">
        <v>62</v>
      </c>
      <c r="AB8" s="1169" t="s">
        <v>19</v>
      </c>
      <c r="AC8" s="1346"/>
      <c r="AD8" s="1250">
        <v>1</v>
      </c>
      <c r="AE8" s="1360"/>
      <c r="AF8" s="1169" t="s">
        <v>19</v>
      </c>
      <c r="AG8" s="1346"/>
      <c r="AH8" s="1250">
        <v>1</v>
      </c>
      <c r="AI8" s="1360"/>
      <c r="AJ8" s="1169" t="s">
        <v>19</v>
      </c>
      <c r="AK8" s="180"/>
      <c r="AL8" s="268">
        <v>1</v>
      </c>
      <c r="AM8" s="619"/>
      <c r="AN8" s="306"/>
      <c r="AO8" s="728"/>
      <c r="AP8" s="943"/>
      <c r="AQ8" s="297" t="s">
        <v>62</v>
      </c>
      <c r="AR8" s="943"/>
      <c r="AS8" s="297" t="s">
        <v>62</v>
      </c>
      <c r="AT8" s="766"/>
      <c r="AU8" s="1316" t="s">
        <v>466</v>
      </c>
      <c r="AV8" s="68" t="e">
        <f ca="1">STRCHECKDATE(V11:AT11)</f>
        <v>#NAME?</v>
      </c>
      <c r="AW8" s="69"/>
      <c r="AX8" s="69" t="str">
        <f t="shared" si="0"/>
        <v/>
      </c>
      <c r="AY8" s="69"/>
      <c r="AZ8" s="69"/>
      <c r="BA8" s="11">
        <v>0</v>
      </c>
    </row>
    <row r="9" spans="1:53" ht="11.25" hidden="1" customHeight="1">
      <c r="A9" s="769"/>
      <c r="B9" s="769"/>
      <c r="C9" s="769"/>
      <c r="D9" s="769"/>
      <c r="E9" s="1294"/>
      <c r="F9" s="1294"/>
      <c r="G9" s="1294"/>
      <c r="H9" s="1294"/>
      <c r="I9" s="1296"/>
      <c r="J9" s="1296"/>
      <c r="K9" s="1295"/>
      <c r="L9" s="770"/>
      <c r="P9" s="1297"/>
      <c r="Q9" s="1297"/>
      <c r="R9" s="1353"/>
      <c r="S9" s="1351"/>
      <c r="T9" s="1348"/>
      <c r="U9" s="171"/>
      <c r="V9" s="789"/>
      <c r="W9" s="793"/>
      <c r="X9" s="1298"/>
      <c r="Y9" s="1169"/>
      <c r="Z9" s="1298"/>
      <c r="AA9" s="1169"/>
      <c r="AB9" s="1169"/>
      <c r="AC9" s="1346"/>
      <c r="AD9" s="1250"/>
      <c r="AE9" s="1360"/>
      <c r="AF9" s="1169"/>
      <c r="AG9" s="1346"/>
      <c r="AH9" s="1250"/>
      <c r="AI9" s="1360"/>
      <c r="AJ9" s="1169"/>
      <c r="AK9" s="184"/>
      <c r="AL9" s="52"/>
      <c r="AM9" s="110" t="s">
        <v>467</v>
      </c>
      <c r="AN9" s="789"/>
      <c r="AO9" s="819"/>
      <c r="AP9" s="789"/>
      <c r="AQ9" s="789"/>
      <c r="AR9" s="789"/>
      <c r="AS9" s="789"/>
      <c r="AT9" s="786"/>
      <c r="AU9" s="1317"/>
      <c r="AW9" s="69"/>
      <c r="AX9" s="69"/>
      <c r="AY9" s="69"/>
      <c r="AZ9" s="69"/>
      <c r="BA9" s="11">
        <v>0</v>
      </c>
    </row>
    <row r="10" spans="1:53" ht="11.25" hidden="1" customHeight="1">
      <c r="A10" s="769"/>
      <c r="B10" s="769"/>
      <c r="C10" s="769"/>
      <c r="D10" s="769"/>
      <c r="E10" s="1294"/>
      <c r="F10" s="1294"/>
      <c r="G10" s="1294"/>
      <c r="H10" s="1294"/>
      <c r="I10" s="1296"/>
      <c r="J10" s="1296"/>
      <c r="K10" s="1295"/>
      <c r="L10" s="770"/>
      <c r="P10" s="1297"/>
      <c r="Q10" s="1297"/>
      <c r="R10" s="1353"/>
      <c r="S10" s="1351"/>
      <c r="T10" s="1348"/>
      <c r="U10" s="171"/>
      <c r="V10" s="789"/>
      <c r="W10" s="793"/>
      <c r="X10" s="1298"/>
      <c r="Y10" s="1169"/>
      <c r="Z10" s="1298"/>
      <c r="AA10" s="1169"/>
      <c r="AB10" s="1169"/>
      <c r="AC10" s="1346"/>
      <c r="AD10" s="1250"/>
      <c r="AE10" s="1360"/>
      <c r="AF10" s="1169"/>
      <c r="AG10" s="169"/>
      <c r="AH10" s="110"/>
      <c r="AI10" s="110" t="s">
        <v>468</v>
      </c>
      <c r="AJ10" s="789"/>
      <c r="AK10" s="789"/>
      <c r="AL10" s="789"/>
      <c r="AM10" s="789"/>
      <c r="AN10" s="789"/>
      <c r="AO10" s="819"/>
      <c r="AP10" s="789"/>
      <c r="AQ10" s="789"/>
      <c r="AR10" s="789"/>
      <c r="AS10" s="789"/>
      <c r="AT10" s="786"/>
      <c r="AU10" s="1317"/>
      <c r="AW10" s="69"/>
      <c r="AX10" s="69"/>
      <c r="AY10" s="69"/>
      <c r="AZ10" s="69"/>
      <c r="BA10" s="11">
        <v>0</v>
      </c>
    </row>
    <row r="11" spans="1:53" ht="11.25" hidden="1" customHeight="1">
      <c r="A11" s="769"/>
      <c r="B11" s="769"/>
      <c r="C11" s="769"/>
      <c r="D11" s="769"/>
      <c r="E11" s="1294"/>
      <c r="F11" s="1294"/>
      <c r="G11" s="1294"/>
      <c r="H11" s="1294"/>
      <c r="I11" s="1296"/>
      <c r="J11" s="1296"/>
      <c r="K11" s="1295"/>
      <c r="L11" s="770"/>
      <c r="P11" s="1297"/>
      <c r="Q11" s="1297"/>
      <c r="R11" s="1353"/>
      <c r="S11" s="1352"/>
      <c r="T11" s="1349"/>
      <c r="U11" s="171"/>
      <c r="V11" s="789"/>
      <c r="W11" s="792" t="str">
        <f>X8&amp;"-"&amp;Z8</f>
        <v>-</v>
      </c>
      <c r="X11" s="1299"/>
      <c r="Y11" s="1169"/>
      <c r="Z11" s="1299"/>
      <c r="AA11" s="1169"/>
      <c r="AB11" s="1169"/>
      <c r="AC11" s="181"/>
      <c r="AD11" s="183"/>
      <c r="AE11" s="110" t="s">
        <v>469</v>
      </c>
      <c r="AF11" s="789"/>
      <c r="AG11" s="789"/>
      <c r="AH11" s="789"/>
      <c r="AI11" s="789"/>
      <c r="AJ11" s="789"/>
      <c r="AK11" s="789"/>
      <c r="AL11" s="789"/>
      <c r="AM11" s="789"/>
      <c r="AN11" s="789"/>
      <c r="AO11" s="790" t="str">
        <f>AP8&amp;"-"&amp;AR8</f>
        <v>-</v>
      </c>
      <c r="AP11" s="789"/>
      <c r="AQ11" s="789"/>
      <c r="AR11" s="789"/>
      <c r="AS11" s="789"/>
      <c r="AT11" s="767"/>
      <c r="AU11" s="1317"/>
      <c r="AW11" s="69"/>
      <c r="AX11" s="69" t="str">
        <f t="shared" ref="AX11:AX17" si="1">IF(T11="","",T11)</f>
        <v/>
      </c>
      <c r="AY11" s="69"/>
      <c r="AZ11" s="69"/>
      <c r="BA11" s="11">
        <v>0</v>
      </c>
    </row>
    <row r="12" spans="1:53" ht="11.25" hidden="1" customHeight="1">
      <c r="A12" s="769"/>
      <c r="B12" s="769"/>
      <c r="C12" s="769"/>
      <c r="D12" s="769"/>
      <c r="E12" s="1294"/>
      <c r="F12" s="1294"/>
      <c r="G12" s="1294"/>
      <c r="H12" s="1294"/>
      <c r="I12" s="1296"/>
      <c r="J12" s="1295"/>
      <c r="K12" s="769"/>
      <c r="L12" s="770"/>
      <c r="P12" s="1297"/>
      <c r="Q12" s="1297"/>
      <c r="R12" s="208"/>
      <c r="S12" s="742"/>
      <c r="T12" s="166" t="s">
        <v>470</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18"/>
      <c r="AW12" s="69"/>
      <c r="AX12" s="69" t="str">
        <f t="shared" si="1"/>
        <v>Добавить строку</v>
      </c>
      <c r="AY12" s="69"/>
      <c r="AZ12" s="69"/>
      <c r="BA12" s="11">
        <v>0</v>
      </c>
    </row>
    <row r="13" spans="1:53" s="68" customFormat="1" ht="0.75" hidden="1" customHeight="1">
      <c r="A13" s="145"/>
      <c r="B13" s="145"/>
      <c r="C13" s="145"/>
      <c r="D13" s="145"/>
      <c r="E13" s="1294"/>
      <c r="F13" s="1294"/>
      <c r="G13" s="1294"/>
      <c r="H13" s="1294"/>
      <c r="I13" s="1295"/>
      <c r="J13" s="145"/>
      <c r="K13" s="145"/>
      <c r="L13" s="346"/>
      <c r="M13" s="290"/>
      <c r="N13" s="290"/>
      <c r="O13" s="290"/>
      <c r="P13" s="1297"/>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94"/>
      <c r="F14" s="1294"/>
      <c r="G14" s="1294"/>
      <c r="H14" s="1293"/>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94"/>
      <c r="F15" s="1294"/>
      <c r="G15" s="1293"/>
      <c r="H15" s="145"/>
      <c r="I15" s="145"/>
      <c r="J15" s="145"/>
      <c r="K15" s="145"/>
      <c r="L15" s="346"/>
      <c r="M15" s="293"/>
      <c r="N15" s="293"/>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94"/>
      <c r="F16" s="1293"/>
      <c r="G16" s="145"/>
      <c r="H16" s="145"/>
      <c r="I16" s="145"/>
      <c r="J16" s="145"/>
      <c r="K16" s="145"/>
      <c r="L16" s="346"/>
      <c r="M16" s="759"/>
      <c r="N16" s="759"/>
      <c r="P16" s="104"/>
      <c r="Q16" s="755"/>
      <c r="R16" s="104"/>
      <c r="S16" s="760"/>
      <c r="T16" s="762" t="s">
        <v>421</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93"/>
      <c r="F17" s="145"/>
      <c r="G17" s="145"/>
      <c r="H17" s="145"/>
      <c r="I17" s="145"/>
      <c r="J17" s="145"/>
      <c r="K17" s="145"/>
      <c r="L17" s="346"/>
      <c r="M17" s="759"/>
      <c r="N17" s="759"/>
      <c r="P17" s="104"/>
      <c r="Q17" s="755"/>
      <c r="R17" s="104"/>
      <c r="S17" s="760"/>
      <c r="T17" s="762" t="s">
        <v>422</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62</v>
      </c>
      <c r="AR19" s="945"/>
      <c r="AS19" s="816" t="s">
        <v>62</v>
      </c>
      <c r="BA19" s="11">
        <v>0</v>
      </c>
    </row>
    <row r="20" spans="1:53" ht="14.25" hidden="1" customHeight="1">
      <c r="AV20" s="203"/>
      <c r="AW20" s="203"/>
      <c r="AX20" s="203"/>
      <c r="AY20" s="203"/>
      <c r="AZ20" s="203"/>
      <c r="BA20" s="11">
        <v>0</v>
      </c>
    </row>
    <row r="21" spans="1:53" ht="14.25" hidden="1" customHeight="1">
      <c r="O21" s="771" t="s">
        <v>423</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424</v>
      </c>
      <c r="P23" s="830"/>
      <c r="Q23" s="831"/>
      <c r="R23" s="831"/>
      <c r="Y23" s="829" t="s">
        <v>426</v>
      </c>
      <c r="AA23" s="829" t="s">
        <v>427</v>
      </c>
      <c r="AB23" s="829" t="s">
        <v>471</v>
      </c>
      <c r="AE23" s="829" t="s">
        <v>472</v>
      </c>
      <c r="AF23" s="829" t="s">
        <v>471</v>
      </c>
      <c r="AI23" s="829" t="s">
        <v>473</v>
      </c>
      <c r="AJ23" s="829" t="s">
        <v>471</v>
      </c>
      <c r="AM23" s="829" t="s">
        <v>474</v>
      </c>
      <c r="AQ23" s="829" t="s">
        <v>426</v>
      </c>
      <c r="AS23" s="829" t="s">
        <v>427</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59"/>
      <c r="BA27" s="11">
        <v>26</v>
      </c>
    </row>
    <row r="28" spans="1:53" ht="14.65" customHeight="1">
      <c r="Q28" s="168"/>
      <c r="R28" s="28"/>
      <c r="S28" s="1246" t="str">
        <f>IF(org=0,"Не определено",org)</f>
        <v>Сургутское городское муниципальное унитарное предприятие "Горводоканал"</v>
      </c>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1284"/>
      <c r="U30" s="773"/>
      <c r="V30" s="1286" t="str">
        <f>IF(TITLE_NAME_OR_PR_CHANGE="",IF(TITLE_NAME_OR_PR="","",TITLE_NAME_OR_PR),TITLE_NAME_OR_PR_CHANGE)</f>
        <v/>
      </c>
      <c r="W30" s="1286"/>
      <c r="X30" s="1286"/>
      <c r="Y30" s="1286"/>
      <c r="Z30" s="1286"/>
      <c r="AA30" s="11"/>
      <c r="AB30" s="1286" t="str">
        <f>IF(TITLE_NAME_OR_PR_CHANGE="",IF(TITLE_NAME_OR_PR="","",TITLE_NAME_OR_PR),TITLE_NAME_OR_PR_CHANGE)</f>
        <v/>
      </c>
      <c r="AC30" s="1286"/>
      <c r="AD30" s="1286"/>
      <c r="AE30" s="1286"/>
      <c r="AF30" s="1286"/>
      <c r="AG30" s="1286"/>
      <c r="AH30" s="1286"/>
      <c r="AI30" s="1286"/>
      <c r="AJ30" s="1286"/>
      <c r="AK30" s="1286"/>
      <c r="AL30" s="1286"/>
      <c r="AM30" s="1286"/>
      <c r="AN30" s="1286"/>
      <c r="AO30" s="1286"/>
      <c r="AP30" s="1286"/>
      <c r="AQ30" s="1286"/>
      <c r="AR30" s="1286"/>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84" t="str">
        <f>"Дата документа об "&amp;IF(TITLE_DATE_PR_CHANGE="","утверждении","изменении")&amp;" тарифов"</f>
        <v>Дата документа об утверждении тарифов</v>
      </c>
      <c r="T31" s="1284"/>
      <c r="U31" s="773"/>
      <c r="V31" s="1285" t="str">
        <f>IF(TITLE_DATE_PR_CHANGE="",IF(TITLE_DATE_PR="","",TITLE_DATE_PR),TITLE_DATE_PR_CHANGE)</f>
        <v/>
      </c>
      <c r="W31" s="1285"/>
      <c r="X31" s="1285"/>
      <c r="Y31" s="1285"/>
      <c r="Z31" s="1285"/>
      <c r="AA31" s="11"/>
      <c r="AB31" s="1285" t="str">
        <f>IF(TITLE_DATE_PR_CHANGE="",IF(TITLE_DATE_PR="","",TITLE_DATE_PR),TITLE_DATE_PR_CHANGE)</f>
        <v/>
      </c>
      <c r="AC31" s="1285"/>
      <c r="AD31" s="1285"/>
      <c r="AE31" s="1285"/>
      <c r="AF31" s="1285"/>
      <c r="AG31" s="1285"/>
      <c r="AH31" s="1285"/>
      <c r="AI31" s="1285"/>
      <c r="AJ31" s="1285"/>
      <c r="AK31" s="1285"/>
      <c r="AL31" s="1285"/>
      <c r="AM31" s="1285"/>
      <c r="AN31" s="1285"/>
      <c r="AO31" s="1285"/>
      <c r="AP31" s="1285"/>
      <c r="AQ31" s="1285"/>
      <c r="AR31" s="1285"/>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84" t="str">
        <f>"Номер документа об "&amp;IF(TITLE_DATE_PR_CHANGE="","утверждении","изменении")&amp;" тарифов"</f>
        <v>Номер документа об утверждении тарифов</v>
      </c>
      <c r="T32" s="1284"/>
      <c r="U32" s="773"/>
      <c r="V32" s="1286" t="str">
        <f>IF(TITLE_NUMBER_PR_CHANGE="",IF(TITLE_NUMBER_PR="","",TITLE_NUMBER_PR),TITLE_NUMBER_PR_CHANGE)</f>
        <v/>
      </c>
      <c r="W32" s="1286"/>
      <c r="X32" s="1286"/>
      <c r="Y32" s="1286"/>
      <c r="Z32" s="1286"/>
      <c r="AA32" s="11"/>
      <c r="AB32" s="1286" t="str">
        <f>IF(TITLE_NUMBER_PR_CHANGE="",IF(TITLE_NUMBER_PR="","",TITLE_NUMBER_PR),TITLE_NUMBER_PR_CHANGE)</f>
        <v/>
      </c>
      <c r="AC32" s="1286"/>
      <c r="AD32" s="1286"/>
      <c r="AE32" s="1286"/>
      <c r="AF32" s="1286"/>
      <c r="AG32" s="1286"/>
      <c r="AH32" s="1286"/>
      <c r="AI32" s="1286"/>
      <c r="AJ32" s="1286"/>
      <c r="AK32" s="1286"/>
      <c r="AL32" s="1286"/>
      <c r="AM32" s="1286"/>
      <c r="AN32" s="1286"/>
      <c r="AO32" s="1286"/>
      <c r="AP32" s="1286"/>
      <c r="AQ32" s="1286"/>
      <c r="AR32" s="1286"/>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84" t="s">
        <v>43</v>
      </c>
      <c r="T33" s="1284"/>
      <c r="U33" s="773"/>
      <c r="V33" s="1286" t="str">
        <f>IF(TITLE_IST_PUB_CHANGE="",IF(TITLE_IST_PUB="","",TITLE_IST_PUB),TITLE_IST_PUB_CHANGE)</f>
        <v/>
      </c>
      <c r="W33" s="1286"/>
      <c r="X33" s="1286"/>
      <c r="Y33" s="1286"/>
      <c r="Z33" s="1286"/>
      <c r="AA33" s="11"/>
      <c r="AB33" s="1286" t="str">
        <f>IF(TITLE_IST_PUB_CHANGE="",IF(TITLE_IST_PUB="","",TITLE_IST_PUB),TITLE_IST_PUB_CHANGE)</f>
        <v/>
      </c>
      <c r="AC33" s="1286"/>
      <c r="AD33" s="1286"/>
      <c r="AE33" s="1286"/>
      <c r="AF33" s="1286"/>
      <c r="AG33" s="1286"/>
      <c r="AH33" s="1286"/>
      <c r="AI33" s="1286"/>
      <c r="AJ33" s="1286"/>
      <c r="AK33" s="1286"/>
      <c r="AL33" s="1286"/>
      <c r="AM33" s="1286"/>
      <c r="AN33" s="1286"/>
      <c r="AO33" s="1286"/>
      <c r="AP33" s="1286"/>
      <c r="AQ33" s="1286"/>
      <c r="AR33" s="1286"/>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84" t="str">
        <f>"Дата подачи заявления об "&amp;IF(TITLE_DATE_PR_CHANGE="","утверждении","изменении")&amp;" тарифов"</f>
        <v>Дата подачи заявления об утверждении тарифов</v>
      </c>
      <c r="T35" s="1284"/>
      <c r="U35" s="773"/>
      <c r="V35" s="1285" t="str">
        <f>IF(TITLE_DATE_PR_CHANGE="",IF(TITLE_DATE_PR="","",TITLE_DATE_PR),TITLE_DATE_PR_CHANGE)</f>
        <v/>
      </c>
      <c r="W35" s="1285"/>
      <c r="X35" s="1285"/>
      <c r="Y35" s="1285"/>
      <c r="Z35" s="1285"/>
      <c r="AA35" s="11"/>
      <c r="AB35" s="1285" t="str">
        <f>IF(TITLE_DATE_PR_CHANGE="",IF(TITLE_DATE_PR="","",TITLE_DATE_PR),TITLE_DATE_PR_CHANGE)</f>
        <v/>
      </c>
      <c r="AC35" s="1285"/>
      <c r="AD35" s="1285"/>
      <c r="AE35" s="1285"/>
      <c r="AF35" s="1285"/>
      <c r="AG35" s="1285"/>
      <c r="AH35" s="1285"/>
      <c r="AI35" s="1285"/>
      <c r="AJ35" s="1285"/>
      <c r="AK35" s="1285"/>
      <c r="AL35" s="1285"/>
      <c r="AM35" s="1285"/>
      <c r="AN35" s="1285"/>
      <c r="AO35" s="1285"/>
      <c r="AP35" s="1285"/>
      <c r="AQ35" s="1285"/>
      <c r="AR35" s="1285"/>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84" t="str">
        <f>"Номер подачи заявления об "&amp;IF(TITLE_DATE_PR_CHANGE="","утверждении","изменении")&amp;" тарифов"</f>
        <v>Номер подачи заявления об утверждении тарифов</v>
      </c>
      <c r="T36" s="1284"/>
      <c r="U36" s="773"/>
      <c r="V36" s="1286" t="str">
        <f>IF(TITLE_NUMBER_PR_CHANGE="",IF(TITLE_NUMBER_PR="","",TITLE_NUMBER_PR),TITLE_NUMBER_PR_CHANGE)</f>
        <v/>
      </c>
      <c r="W36" s="1286"/>
      <c r="X36" s="1286"/>
      <c r="Y36" s="1286"/>
      <c r="Z36" s="1286"/>
      <c r="AA36" s="11"/>
      <c r="AB36" s="1286" t="str">
        <f>IF(TITLE_NUMBER_PR_CHANGE="",IF(TITLE_NUMBER_PR="","",TITLE_NUMBER_PR),TITLE_NUMBER_PR_CHANGE)</f>
        <v/>
      </c>
      <c r="AC36" s="1286"/>
      <c r="AD36" s="1286"/>
      <c r="AE36" s="1286"/>
      <c r="AF36" s="1286"/>
      <c r="AG36" s="1286"/>
      <c r="AH36" s="1286"/>
      <c r="AI36" s="1286"/>
      <c r="AJ36" s="1286"/>
      <c r="AK36" s="1286"/>
      <c r="AL36" s="1286"/>
      <c r="AM36" s="1286"/>
      <c r="AN36" s="1286"/>
      <c r="AO36" s="1286"/>
      <c r="AP36" s="1286"/>
      <c r="AQ36" s="1286"/>
      <c r="AR36" s="1286"/>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429</v>
      </c>
      <c r="AB37" s="11"/>
      <c r="AC37" s="11"/>
      <c r="AD37" s="11"/>
      <c r="AE37" s="11"/>
      <c r="AF37" s="11"/>
      <c r="AG37" s="11"/>
      <c r="AH37" s="11"/>
      <c r="AI37" s="11"/>
      <c r="AJ37" s="11"/>
      <c r="AK37" s="11"/>
      <c r="AL37" s="11"/>
      <c r="AM37" s="11"/>
      <c r="AN37" s="11"/>
      <c r="AO37" s="11"/>
      <c r="AP37" s="11"/>
      <c r="AQ37" s="11"/>
      <c r="AR37" s="11"/>
      <c r="AS37" s="68" t="s">
        <v>429</v>
      </c>
      <c r="AV37" s="69"/>
      <c r="AW37" s="69"/>
      <c r="AX37" s="69"/>
      <c r="AY37" s="69"/>
      <c r="AZ37" s="69"/>
      <c r="BA37" s="35">
        <v>1</v>
      </c>
    </row>
    <row r="38" spans="1:53" ht="14.65" customHeight="1">
      <c r="Q38" s="168"/>
      <c r="R38" s="28"/>
      <c r="S38" s="739"/>
      <c r="T38" s="10"/>
      <c r="U38" s="720"/>
      <c r="V38" s="1305"/>
      <c r="W38" s="1305"/>
      <c r="X38" s="1305"/>
      <c r="Y38" s="1305"/>
      <c r="Z38" s="1305"/>
      <c r="AA38" s="1305"/>
      <c r="AB38" s="1305"/>
      <c r="AC38" s="1305"/>
      <c r="AD38" s="1305"/>
      <c r="AE38" s="1305"/>
      <c r="AF38" s="1305"/>
      <c r="AG38" s="1305"/>
      <c r="AH38" s="1305"/>
      <c r="AI38" s="1305"/>
      <c r="AJ38" s="1305"/>
      <c r="AK38" s="1305"/>
      <c r="AL38" s="1305"/>
      <c r="AM38" s="1305"/>
      <c r="AN38" s="1305"/>
      <c r="AO38" s="1305"/>
      <c r="AP38" s="1305"/>
      <c r="AQ38" s="1305"/>
      <c r="AR38" s="1305"/>
      <c r="AS38" s="1305"/>
      <c r="BA38" s="11">
        <v>14</v>
      </c>
    </row>
    <row r="39" spans="1:53" ht="14.65" customHeight="1">
      <c r="Q39" s="168"/>
      <c r="R39" s="28"/>
      <c r="S39" s="1159" t="s">
        <v>306</v>
      </c>
      <c r="T39" s="1159"/>
      <c r="U39" s="1159"/>
      <c r="V39" s="1159"/>
      <c r="W39" s="1159"/>
      <c r="X39" s="1159"/>
      <c r="Y39" s="1159"/>
      <c r="Z39" s="1159"/>
      <c r="AA39" s="1159"/>
      <c r="AB39" s="1224"/>
      <c r="AC39" s="1224"/>
      <c r="AD39" s="1224"/>
      <c r="AE39" s="1224"/>
      <c r="AF39" s="1159"/>
      <c r="AG39" s="1159"/>
      <c r="AH39" s="1159"/>
      <c r="AI39" s="1159"/>
      <c r="AJ39" s="1159"/>
      <c r="AK39" s="1159"/>
      <c r="AL39" s="1159"/>
      <c r="AM39" s="1159"/>
      <c r="AN39" s="1159"/>
      <c r="AO39" s="1159"/>
      <c r="AP39" s="1159"/>
      <c r="AQ39" s="1159"/>
      <c r="AR39" s="1159"/>
      <c r="AS39" s="1159"/>
      <c r="AT39" s="1159"/>
      <c r="AU39" s="1159" t="s">
        <v>307</v>
      </c>
      <c r="BA39" s="11">
        <v>14</v>
      </c>
    </row>
    <row r="40" spans="1:53" ht="14.65" customHeight="1">
      <c r="Q40" s="168"/>
      <c r="R40" s="28"/>
      <c r="S40" s="1306" t="s">
        <v>88</v>
      </c>
      <c r="T40" s="1254" t="s">
        <v>475</v>
      </c>
      <c r="U40" s="172"/>
      <c r="V40" s="1308"/>
      <c r="W40" s="1308"/>
      <c r="X40" s="1308"/>
      <c r="Y40" s="1308"/>
      <c r="Z40" s="1309"/>
      <c r="AA40" s="1355" t="s">
        <v>432</v>
      </c>
      <c r="AB40" s="1339" t="s">
        <v>476</v>
      </c>
      <c r="AC40" s="1323"/>
      <c r="AD40" s="1323"/>
      <c r="AE40" s="1340"/>
      <c r="AF40" s="1323" t="s">
        <v>477</v>
      </c>
      <c r="AG40" s="1323"/>
      <c r="AH40" s="1323"/>
      <c r="AI40" s="1340"/>
      <c r="AJ40" s="1339" t="s">
        <v>478</v>
      </c>
      <c r="AK40" s="1323"/>
      <c r="AL40" s="1323"/>
      <c r="AM40" s="1340"/>
      <c r="AN40" s="1339" t="s">
        <v>431</v>
      </c>
      <c r="AO40" s="1323"/>
      <c r="AP40" s="1308"/>
      <c r="AQ40" s="1308"/>
      <c r="AR40" s="1309"/>
      <c r="AS40" s="1310" t="s">
        <v>432</v>
      </c>
      <c r="AT40" s="1313" t="s">
        <v>434</v>
      </c>
      <c r="AU40" s="1159"/>
      <c r="BA40" s="11">
        <v>14</v>
      </c>
    </row>
    <row r="41" spans="1:53" ht="35.65" customHeight="1">
      <c r="Q41" s="168"/>
      <c r="R41" s="28"/>
      <c r="S41" s="1306"/>
      <c r="T41" s="1254"/>
      <c r="U41" s="607"/>
      <c r="V41" s="1159" t="s">
        <v>479</v>
      </c>
      <c r="W41" s="1159"/>
      <c r="X41" s="1225" t="s">
        <v>438</v>
      </c>
      <c r="Y41" s="1335"/>
      <c r="Z41" s="1226"/>
      <c r="AA41" s="1356"/>
      <c r="AB41" s="1341"/>
      <c r="AC41" s="1342"/>
      <c r="AD41" s="1342"/>
      <c r="AE41" s="1354"/>
      <c r="AF41" s="1342"/>
      <c r="AG41" s="1342"/>
      <c r="AH41" s="1342"/>
      <c r="AI41" s="1354"/>
      <c r="AJ41" s="1341"/>
      <c r="AK41" s="1342"/>
      <c r="AL41" s="1342"/>
      <c r="AM41" s="1342"/>
      <c r="AN41" s="1159" t="s">
        <v>479</v>
      </c>
      <c r="AO41" s="1159"/>
      <c r="AP41" s="1335" t="s">
        <v>438</v>
      </c>
      <c r="AQ41" s="1335"/>
      <c r="AR41" s="1226"/>
      <c r="AS41" s="1311"/>
      <c r="AT41" s="1314"/>
      <c r="AU41" s="1159"/>
      <c r="BA41" s="11">
        <v>34</v>
      </c>
    </row>
    <row r="42" spans="1:53" ht="14.65" customHeight="1">
      <c r="Q42" s="168"/>
      <c r="R42" s="28"/>
      <c r="S42" s="1306"/>
      <c r="T42" s="1254"/>
      <c r="U42" s="607"/>
      <c r="V42" s="1359" t="str">
        <f>IF($AN$42&lt;&gt;"",$AN$42,"")</f>
        <v/>
      </c>
      <c r="W42" s="1359"/>
      <c r="X42" s="1230"/>
      <c r="Y42" s="1336"/>
      <c r="Z42" s="1231"/>
      <c r="AA42" s="1356"/>
      <c r="AB42" s="1341"/>
      <c r="AC42" s="1342"/>
      <c r="AD42" s="1342"/>
      <c r="AE42" s="1354"/>
      <c r="AF42" s="1342"/>
      <c r="AG42" s="1342"/>
      <c r="AH42" s="1342"/>
      <c r="AI42" s="1354"/>
      <c r="AJ42" s="1341"/>
      <c r="AK42" s="1342"/>
      <c r="AL42" s="1342"/>
      <c r="AM42" s="1342"/>
      <c r="AN42" s="1358"/>
      <c r="AO42" s="1358"/>
      <c r="AP42" s="1336"/>
      <c r="AQ42" s="1336"/>
      <c r="AR42" s="1231"/>
      <c r="AS42" s="1311"/>
      <c r="AT42" s="1314"/>
      <c r="AU42" s="1159"/>
      <c r="BA42" s="11">
        <v>14</v>
      </c>
    </row>
    <row r="43" spans="1:53" ht="14.65" customHeight="1">
      <c r="A43" s="82"/>
      <c r="B43" s="82" t="s">
        <v>143</v>
      </c>
      <c r="C43" s="82" t="s">
        <v>144</v>
      </c>
      <c r="D43" s="82" t="s">
        <v>145</v>
      </c>
      <c r="E43" s="770" t="s">
        <v>439</v>
      </c>
      <c r="F43" s="770" t="s">
        <v>440</v>
      </c>
      <c r="G43" s="770" t="s">
        <v>441</v>
      </c>
      <c r="H43" s="770" t="s">
        <v>442</v>
      </c>
      <c r="I43" s="770" t="s">
        <v>443</v>
      </c>
      <c r="J43" s="770" t="s">
        <v>444</v>
      </c>
      <c r="K43" s="770" t="s">
        <v>445</v>
      </c>
      <c r="L43" s="770" t="s">
        <v>424</v>
      </c>
      <c r="Q43" s="168"/>
      <c r="R43" s="28"/>
      <c r="S43" s="1306"/>
      <c r="T43" s="1254"/>
      <c r="U43" s="173"/>
      <c r="V43" s="36" t="s">
        <v>480</v>
      </c>
      <c r="W43" s="36" t="s">
        <v>481</v>
      </c>
      <c r="X43" s="39" t="s">
        <v>448</v>
      </c>
      <c r="Y43" s="1259" t="s">
        <v>449</v>
      </c>
      <c r="Z43" s="1273"/>
      <c r="AA43" s="1357"/>
      <c r="AB43" s="1343"/>
      <c r="AC43" s="1344"/>
      <c r="AD43" s="1344"/>
      <c r="AE43" s="1345"/>
      <c r="AF43" s="1344"/>
      <c r="AG43" s="1344"/>
      <c r="AH43" s="1344"/>
      <c r="AI43" s="1345"/>
      <c r="AJ43" s="1343"/>
      <c r="AK43" s="1344"/>
      <c r="AL43" s="1344"/>
      <c r="AM43" s="1345"/>
      <c r="AN43" s="1002" t="s">
        <v>480</v>
      </c>
      <c r="AO43" s="1002" t="s">
        <v>481</v>
      </c>
      <c r="AP43" s="39" t="s">
        <v>448</v>
      </c>
      <c r="AQ43" s="1259" t="s">
        <v>449</v>
      </c>
      <c r="AR43" s="1273"/>
      <c r="AS43" s="1312"/>
      <c r="AT43" s="1315"/>
      <c r="AU43" s="1159"/>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109</v>
      </c>
      <c r="T44" s="726" t="s">
        <v>110</v>
      </c>
      <c r="U44" s="721" t="str">
        <f ca="1">OFFSET(U44,0,-1)</f>
        <v>2</v>
      </c>
      <c r="V44" s="727">
        <f ca="1">OFFSET(V44,0,-1)+1</f>
        <v>3</v>
      </c>
      <c r="W44" s="727">
        <f ca="1">OFFSET(W44,0,-1)+1</f>
        <v>4</v>
      </c>
      <c r="X44" s="727">
        <f ca="1">OFFSET(X44,0,-1)+1</f>
        <v>5</v>
      </c>
      <c r="Y44" s="1304">
        <f ca="1">OFFSET(Y44,0,-1)+1</f>
        <v>6</v>
      </c>
      <c r="Z44" s="1304"/>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304">
        <f ca="1">OFFSET(AQ44,0,-1)+1</f>
        <v>4</v>
      </c>
      <c r="AR44" s="1304"/>
      <c r="AS44" s="727">
        <f ca="1">OFFSET(AS44,0,-2)+1</f>
        <v>5</v>
      </c>
      <c r="AT44" s="721">
        <f ca="1">OFFSET(AT44,0,-1)</f>
        <v>5</v>
      </c>
      <c r="AU44" s="727">
        <f ca="1">OFFSET(AU44,0,-1)+1</f>
        <v>6</v>
      </c>
      <c r="AV44" s="68"/>
      <c r="AW44" s="68"/>
      <c r="AX44" s="68"/>
      <c r="AY44" s="68"/>
      <c r="AZ44" s="68"/>
      <c r="BA44" s="203">
        <v>0</v>
      </c>
    </row>
    <row r="45" spans="1:53" ht="107.25" customHeight="1">
      <c r="A45" s="769" t="s">
        <v>206</v>
      </c>
      <c r="B45" s="769"/>
      <c r="C45" s="769"/>
      <c r="D45" s="769"/>
      <c r="E45" s="1293">
        <v>1</v>
      </c>
      <c r="F45" s="769"/>
      <c r="G45" s="769"/>
      <c r="H45" s="769"/>
      <c r="I45" s="769"/>
      <c r="J45" s="769"/>
      <c r="K45" s="769"/>
      <c r="L45" s="770"/>
      <c r="M45" s="426"/>
      <c r="N45" s="426"/>
      <c r="O45" s="426"/>
      <c r="Q45" s="62"/>
      <c r="R45" s="207"/>
      <c r="S45" s="709">
        <f>INDEX(PT_DIFFERENTIATION_NUM_NTAR,MATCH(A45,PT_DIFFERENTIATION_NTAR_ID,0))</f>
        <v>0</v>
      </c>
      <c r="T45" s="67" t="s">
        <v>131</v>
      </c>
      <c r="U45" s="171"/>
      <c r="V45" s="1288"/>
      <c r="W45" s="1288"/>
      <c r="X45" s="1288"/>
      <c r="Y45" s="1288"/>
      <c r="Z45" s="1288"/>
      <c r="AA45" s="1289"/>
      <c r="AB45" s="1287" t="str">
        <f>INDEX(PT_DIFFERENTIATION_NTAR,MATCH(A45,PT_DIFFERENTIATION_NTAR_ID,0))</f>
        <v/>
      </c>
      <c r="AC45" s="1288"/>
      <c r="AD45" s="1288"/>
      <c r="AE45" s="1288"/>
      <c r="AF45" s="1288"/>
      <c r="AG45" s="1288"/>
      <c r="AH45" s="1288"/>
      <c r="AI45" s="1288"/>
      <c r="AJ45" s="1288"/>
      <c r="AK45" s="1288"/>
      <c r="AL45" s="1288"/>
      <c r="AM45" s="1288"/>
      <c r="AN45" s="1288"/>
      <c r="AO45" s="1288"/>
      <c r="AP45" s="1288"/>
      <c r="AQ45" s="1288"/>
      <c r="AR45" s="1288"/>
      <c r="AS45" s="1288"/>
      <c r="AT45" s="1289"/>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206</v>
      </c>
      <c r="B46" s="769" t="s">
        <v>207</v>
      </c>
      <c r="C46" s="769"/>
      <c r="D46" s="769"/>
      <c r="E46" s="1294"/>
      <c r="F46" s="1293">
        <v>1</v>
      </c>
      <c r="G46" s="769"/>
      <c r="H46" s="769"/>
      <c r="I46" s="769"/>
      <c r="J46" s="769"/>
      <c r="K46" s="769"/>
      <c r="L46" s="770"/>
      <c r="M46" s="426"/>
      <c r="N46" s="426"/>
      <c r="O46" s="426"/>
      <c r="P46" s="301"/>
      <c r="Q46" s="802"/>
      <c r="R46" s="205"/>
      <c r="S46" s="709" t="str">
        <f>INDEX(PT_DIFFERENTIATION_NUM_TER,MATCH(B46,PT_DIFFERENTIATION_TER_ID,0))</f>
        <v>.</v>
      </c>
      <c r="T46" s="177" t="s">
        <v>403</v>
      </c>
      <c r="U46" s="171"/>
      <c r="V46" s="1288"/>
      <c r="W46" s="1288"/>
      <c r="X46" s="1288"/>
      <c r="Y46" s="1288"/>
      <c r="Z46" s="1288"/>
      <c r="AA46" s="1289"/>
      <c r="AB46" s="1287" t="str">
        <f>INDEX(PT_DIFFERENTIATION_TER,MATCH(B46,PT_DIFFERENTIATION_TER_ID,0))</f>
        <v/>
      </c>
      <c r="AC46" s="1288"/>
      <c r="AD46" s="1288"/>
      <c r="AE46" s="1288"/>
      <c r="AF46" s="1288"/>
      <c r="AG46" s="1288"/>
      <c r="AH46" s="1288"/>
      <c r="AI46" s="1288"/>
      <c r="AJ46" s="1288"/>
      <c r="AK46" s="1288"/>
      <c r="AL46" s="1288"/>
      <c r="AM46" s="1288"/>
      <c r="AN46" s="1288"/>
      <c r="AO46" s="1288"/>
      <c r="AP46" s="1288"/>
      <c r="AQ46" s="1288"/>
      <c r="AR46" s="1288"/>
      <c r="AS46" s="1288"/>
      <c r="AT46" s="1289"/>
      <c r="AU46" s="729" t="s">
        <v>404</v>
      </c>
      <c r="AW46" s="69"/>
      <c r="AX46" s="69" t="str">
        <f t="shared" si="2"/>
        <v>Территория действия тарифа</v>
      </c>
      <c r="AY46" s="69"/>
      <c r="AZ46" s="69"/>
      <c r="BA46" s="11">
        <v>21</v>
      </c>
    </row>
    <row r="47" spans="1:53" ht="24" customHeight="1">
      <c r="A47" s="769" t="s">
        <v>206</v>
      </c>
      <c r="B47" s="769" t="s">
        <v>207</v>
      </c>
      <c r="C47" s="769" t="s">
        <v>208</v>
      </c>
      <c r="D47" s="769"/>
      <c r="E47" s="1294"/>
      <c r="F47" s="1294"/>
      <c r="G47" s="1293">
        <v>1</v>
      </c>
      <c r="H47" s="769"/>
      <c r="I47" s="769"/>
      <c r="J47" s="769"/>
      <c r="K47" s="769"/>
      <c r="L47" s="770"/>
      <c r="M47" s="426"/>
      <c r="N47" s="426"/>
      <c r="O47" s="426"/>
      <c r="P47" s="131"/>
      <c r="Q47" s="802"/>
      <c r="R47" s="205"/>
      <c r="S47" s="709" t="str">
        <f>INDEX(PT_DIFFERENTIATION_NUM_CS,MATCH(C47,PT_DIFFERENTIATION_CS_ID,0))</f>
        <v>..</v>
      </c>
      <c r="T47" s="178" t="s">
        <v>405</v>
      </c>
      <c r="U47" s="171"/>
      <c r="V47" s="1288"/>
      <c r="W47" s="1288"/>
      <c r="X47" s="1288"/>
      <c r="Y47" s="1288"/>
      <c r="Z47" s="1288"/>
      <c r="AA47" s="1289"/>
      <c r="AB47" s="1287" t="str">
        <f>INDEX(PT_DIFFERENTIATION_CS,MATCH(C47,PT_DIFFERENTIATION_CS_ID,0))</f>
        <v/>
      </c>
      <c r="AC47" s="1288"/>
      <c r="AD47" s="1288"/>
      <c r="AE47" s="1288"/>
      <c r="AF47" s="1288"/>
      <c r="AG47" s="1288"/>
      <c r="AH47" s="1288"/>
      <c r="AI47" s="1288"/>
      <c r="AJ47" s="1288"/>
      <c r="AK47" s="1288"/>
      <c r="AL47" s="1288"/>
      <c r="AM47" s="1288"/>
      <c r="AN47" s="1288"/>
      <c r="AO47" s="1288"/>
      <c r="AP47" s="1288"/>
      <c r="AQ47" s="1288"/>
      <c r="AR47" s="1288"/>
      <c r="AS47" s="1288"/>
      <c r="AT47" s="1289"/>
      <c r="AU47" s="729" t="s">
        <v>406</v>
      </c>
      <c r="AW47" s="69"/>
      <c r="AX47" s="69" t="str">
        <f t="shared" si="2"/>
        <v xml:space="preserve">Наименование системы теплоснабжения </v>
      </c>
      <c r="AY47" s="69"/>
      <c r="AZ47" s="69"/>
      <c r="BA47" s="11">
        <v>23</v>
      </c>
    </row>
    <row r="48" spans="1:53" ht="21" customHeight="1">
      <c r="A48" s="769" t="s">
        <v>206</v>
      </c>
      <c r="B48" s="769" t="s">
        <v>207</v>
      </c>
      <c r="C48" s="769" t="s">
        <v>208</v>
      </c>
      <c r="D48" s="769" t="s">
        <v>209</v>
      </c>
      <c r="E48" s="1294"/>
      <c r="F48" s="1294"/>
      <c r="G48" s="1294"/>
      <c r="H48" s="1293">
        <v>1</v>
      </c>
      <c r="I48" s="769"/>
      <c r="J48" s="769"/>
      <c r="K48" s="769"/>
      <c r="L48" s="770"/>
      <c r="M48" s="426"/>
      <c r="N48" s="426"/>
      <c r="O48" s="426"/>
      <c r="P48" s="131"/>
      <c r="Q48" s="802"/>
      <c r="R48" s="205"/>
      <c r="S48" s="709" t="str">
        <f>INDEX(PT_DIFFERENTIATION_NUM_IST_TE,MATCH(D48,PT_DIFFERENTIATION_IST_TE_ID,0))</f>
        <v>...</v>
      </c>
      <c r="T48" s="179" t="s">
        <v>407</v>
      </c>
      <c r="U48" s="171"/>
      <c r="V48" s="1288"/>
      <c r="W48" s="1288"/>
      <c r="X48" s="1288"/>
      <c r="Y48" s="1288"/>
      <c r="Z48" s="1288"/>
      <c r="AA48" s="1289"/>
      <c r="AB48" s="1287" t="str">
        <f>INDEX(PT_DIFFERENTIATION_IST_TE,MATCH(D48,PT_DIFFERENTIATION_IST_TE_ID,0))</f>
        <v/>
      </c>
      <c r="AC48" s="1288"/>
      <c r="AD48" s="1288"/>
      <c r="AE48" s="1288"/>
      <c r="AF48" s="1288"/>
      <c r="AG48" s="1288"/>
      <c r="AH48" s="1288"/>
      <c r="AI48" s="1288"/>
      <c r="AJ48" s="1288"/>
      <c r="AK48" s="1288"/>
      <c r="AL48" s="1288"/>
      <c r="AM48" s="1288"/>
      <c r="AN48" s="1288"/>
      <c r="AO48" s="1288"/>
      <c r="AP48" s="1288"/>
      <c r="AQ48" s="1288"/>
      <c r="AR48" s="1288"/>
      <c r="AS48" s="1288"/>
      <c r="AT48" s="1289"/>
      <c r="AU48" s="729" t="s">
        <v>408</v>
      </c>
      <c r="AW48" s="69"/>
      <c r="AX48" s="69" t="str">
        <f t="shared" si="2"/>
        <v xml:space="preserve">Источник тепловой энергии  </v>
      </c>
      <c r="AY48" s="69"/>
      <c r="AZ48" s="69"/>
      <c r="BA48" s="11">
        <v>20</v>
      </c>
    </row>
    <row r="49" spans="1:53" s="68" customFormat="1" ht="1.1499999999999999" customHeight="1">
      <c r="A49" s="145" t="s">
        <v>206</v>
      </c>
      <c r="B49" s="145" t="s">
        <v>207</v>
      </c>
      <c r="C49" s="145" t="s">
        <v>208</v>
      </c>
      <c r="D49" s="145" t="s">
        <v>209</v>
      </c>
      <c r="E49" s="1294"/>
      <c r="F49" s="1294"/>
      <c r="G49" s="1294"/>
      <c r="H49" s="1294"/>
      <c r="I49" s="1295" t="str">
        <f>S48&amp;".1"</f>
        <v>....1</v>
      </c>
      <c r="J49" s="145"/>
      <c r="K49" s="145"/>
      <c r="L49" s="346" t="s">
        <v>409</v>
      </c>
      <c r="M49" s="290"/>
      <c r="N49" s="290"/>
      <c r="O49" s="290"/>
      <c r="P49" s="1297">
        <v>1</v>
      </c>
      <c r="Q49" s="122"/>
      <c r="R49" s="208"/>
      <c r="S49" s="362"/>
      <c r="T49" s="779"/>
      <c r="U49" s="780"/>
      <c r="V49" s="1325"/>
      <c r="W49" s="1325"/>
      <c r="X49" s="1325"/>
      <c r="Y49" s="1325"/>
      <c r="Z49" s="1325"/>
      <c r="AA49" s="1326"/>
      <c r="AB49" s="1324"/>
      <c r="AC49" s="1325"/>
      <c r="AD49" s="1325"/>
      <c r="AE49" s="1325"/>
      <c r="AF49" s="1325"/>
      <c r="AG49" s="1325"/>
      <c r="AH49" s="1325"/>
      <c r="AI49" s="1325"/>
      <c r="AJ49" s="1325"/>
      <c r="AK49" s="1325"/>
      <c r="AL49" s="1325"/>
      <c r="AM49" s="1325"/>
      <c r="AN49" s="1325"/>
      <c r="AO49" s="1325"/>
      <c r="AP49" s="1325"/>
      <c r="AQ49" s="1325"/>
      <c r="AR49" s="1325"/>
      <c r="AS49" s="1325"/>
      <c r="AT49" s="1326"/>
      <c r="AU49" s="781"/>
      <c r="AW49" s="69"/>
      <c r="AX49" s="69" t="str">
        <f t="shared" si="2"/>
        <v/>
      </c>
      <c r="AY49" s="69"/>
      <c r="AZ49" s="69"/>
      <c r="BA49" s="68">
        <v>1</v>
      </c>
    </row>
    <row r="50" spans="1:53" s="68" customFormat="1" ht="1.1499999999999999" customHeight="1">
      <c r="A50" s="145" t="s">
        <v>206</v>
      </c>
      <c r="B50" s="145" t="s">
        <v>207</v>
      </c>
      <c r="C50" s="145" t="s">
        <v>208</v>
      </c>
      <c r="D50" s="145" t="s">
        <v>209</v>
      </c>
      <c r="E50" s="1294"/>
      <c r="F50" s="1294"/>
      <c r="G50" s="1294"/>
      <c r="H50" s="1294"/>
      <c r="I50" s="1296"/>
      <c r="J50" s="1295" t="str">
        <f>S48&amp;".1"</f>
        <v>....1</v>
      </c>
      <c r="K50" s="145"/>
      <c r="L50" s="346"/>
      <c r="M50" s="290"/>
      <c r="N50" s="290"/>
      <c r="O50" s="290"/>
      <c r="P50" s="1297"/>
      <c r="Q50" s="1297">
        <v>1</v>
      </c>
      <c r="R50" s="209"/>
      <c r="S50" s="362"/>
      <c r="T50" s="794"/>
      <c r="U50" s="780"/>
      <c r="V50" s="1325"/>
      <c r="W50" s="1325"/>
      <c r="X50" s="1325"/>
      <c r="Y50" s="1325"/>
      <c r="Z50" s="1325"/>
      <c r="AA50" s="1326"/>
      <c r="AB50" s="1324"/>
      <c r="AC50" s="1325"/>
      <c r="AD50" s="1325"/>
      <c r="AE50" s="1325"/>
      <c r="AF50" s="1325"/>
      <c r="AG50" s="1325"/>
      <c r="AH50" s="1325"/>
      <c r="AI50" s="1325"/>
      <c r="AJ50" s="1325"/>
      <c r="AK50" s="1325"/>
      <c r="AL50" s="1325"/>
      <c r="AM50" s="1325"/>
      <c r="AN50" s="1325"/>
      <c r="AO50" s="1325"/>
      <c r="AP50" s="1325"/>
      <c r="AQ50" s="1325"/>
      <c r="AR50" s="1325"/>
      <c r="AS50" s="1325"/>
      <c r="AT50" s="1326"/>
      <c r="AU50" s="781"/>
      <c r="AW50" s="69"/>
      <c r="AX50" s="69" t="str">
        <f t="shared" si="2"/>
        <v/>
      </c>
      <c r="AY50" s="69"/>
      <c r="AZ50" s="69"/>
      <c r="BA50" s="68">
        <v>1</v>
      </c>
    </row>
    <row r="51" spans="1:53" ht="21.95" customHeight="1">
      <c r="A51" s="769" t="s">
        <v>206</v>
      </c>
      <c r="B51" s="769" t="s">
        <v>207</v>
      </c>
      <c r="C51" s="769" t="s">
        <v>208</v>
      </c>
      <c r="D51" s="769" t="s">
        <v>209</v>
      </c>
      <c r="E51" s="1294"/>
      <c r="F51" s="1294"/>
      <c r="G51" s="1294"/>
      <c r="H51" s="1294"/>
      <c r="I51" s="1296"/>
      <c r="J51" s="1296"/>
      <c r="K51" s="1295" t="str">
        <f>S48&amp;".1"</f>
        <v>....1</v>
      </c>
      <c r="L51" s="770"/>
      <c r="P51" s="1297"/>
      <c r="Q51" s="1297"/>
      <c r="R51" s="209">
        <v>1</v>
      </c>
      <c r="S51" s="1350" t="str">
        <f>$K51</f>
        <v>....1</v>
      </c>
      <c r="T51" s="1347"/>
      <c r="U51" s="171"/>
      <c r="V51" s="306"/>
      <c r="W51" s="728"/>
      <c r="X51" s="943"/>
      <c r="Y51" s="297" t="s">
        <v>62</v>
      </c>
      <c r="Z51" s="943"/>
      <c r="AA51" s="297" t="s">
        <v>62</v>
      </c>
      <c r="AB51" s="1169" t="s">
        <v>19</v>
      </c>
      <c r="AC51" s="1346"/>
      <c r="AD51" s="1250">
        <v>1</v>
      </c>
      <c r="AE51" s="1338" t="s">
        <v>22</v>
      </c>
      <c r="AF51" s="1169" t="s">
        <v>19</v>
      </c>
      <c r="AG51" s="1346"/>
      <c r="AH51" s="1250">
        <v>1</v>
      </c>
      <c r="AI51" s="1338" t="s">
        <v>22</v>
      </c>
      <c r="AJ51" s="1169" t="s">
        <v>19</v>
      </c>
      <c r="AK51" s="180"/>
      <c r="AL51" s="268">
        <v>1</v>
      </c>
      <c r="AM51" s="323"/>
      <c r="AN51" s="306"/>
      <c r="AO51" s="728"/>
      <c r="AP51" s="943"/>
      <c r="AQ51" s="297" t="s">
        <v>62</v>
      </c>
      <c r="AR51" s="943"/>
      <c r="AS51" s="297" t="s">
        <v>62</v>
      </c>
      <c r="AT51" s="766"/>
      <c r="AU51" s="1316" t="s">
        <v>482</v>
      </c>
      <c r="AV51" s="68" t="e">
        <f ca="1">STRCHECKDATE(V54:AT54)</f>
        <v>#NAME?</v>
      </c>
      <c r="AW51" s="69"/>
      <c r="AX51" s="69" t="str">
        <f t="shared" si="2"/>
        <v/>
      </c>
      <c r="AY51" s="69"/>
      <c r="AZ51" s="69"/>
      <c r="BA51" s="11">
        <v>21</v>
      </c>
    </row>
    <row r="52" spans="1:53" ht="11.45" customHeight="1">
      <c r="A52" s="769" t="s">
        <v>206</v>
      </c>
      <c r="B52" s="769"/>
      <c r="C52" s="769"/>
      <c r="D52" s="769"/>
      <c r="E52" s="1294"/>
      <c r="F52" s="1294"/>
      <c r="G52" s="1294"/>
      <c r="H52" s="1294"/>
      <c r="I52" s="1296"/>
      <c r="J52" s="1296"/>
      <c r="K52" s="1295"/>
      <c r="L52" s="770"/>
      <c r="P52" s="1297"/>
      <c r="Q52" s="1297"/>
      <c r="R52" s="209"/>
      <c r="S52" s="1351"/>
      <c r="T52" s="1348"/>
      <c r="U52" s="171"/>
      <c r="V52" s="789"/>
      <c r="W52" s="819"/>
      <c r="X52" s="789"/>
      <c r="Y52" s="789"/>
      <c r="Z52" s="789"/>
      <c r="AA52" s="789"/>
      <c r="AB52" s="1169"/>
      <c r="AC52" s="1346"/>
      <c r="AD52" s="1250"/>
      <c r="AE52" s="1338"/>
      <c r="AF52" s="1169"/>
      <c r="AG52" s="1346"/>
      <c r="AH52" s="1250"/>
      <c r="AI52" s="1338"/>
      <c r="AJ52" s="1169"/>
      <c r="AK52" s="184"/>
      <c r="AL52" s="52"/>
      <c r="AM52" s="110" t="s">
        <v>467</v>
      </c>
      <c r="AN52" s="789"/>
      <c r="AO52" s="819"/>
      <c r="AP52" s="789"/>
      <c r="AQ52" s="789"/>
      <c r="AR52" s="789"/>
      <c r="AS52" s="789"/>
      <c r="AT52" s="786"/>
      <c r="AU52" s="1317"/>
      <c r="AW52" s="69"/>
      <c r="AX52" s="69"/>
      <c r="AY52" s="69"/>
      <c r="AZ52" s="69"/>
      <c r="BA52" s="11">
        <v>11</v>
      </c>
    </row>
    <row r="53" spans="1:53" ht="11.45" customHeight="1">
      <c r="A53" s="769" t="s">
        <v>206</v>
      </c>
      <c r="B53" s="769"/>
      <c r="C53" s="769"/>
      <c r="D53" s="769"/>
      <c r="E53" s="1294"/>
      <c r="F53" s="1294"/>
      <c r="G53" s="1294"/>
      <c r="H53" s="1294"/>
      <c r="I53" s="1296"/>
      <c r="J53" s="1296"/>
      <c r="K53" s="1295"/>
      <c r="L53" s="770"/>
      <c r="P53" s="1297"/>
      <c r="Q53" s="1297"/>
      <c r="R53" s="209"/>
      <c r="S53" s="1351"/>
      <c r="T53" s="1348"/>
      <c r="U53" s="171"/>
      <c r="V53" s="789"/>
      <c r="W53" s="819"/>
      <c r="X53" s="789"/>
      <c r="Y53" s="789"/>
      <c r="Z53" s="789"/>
      <c r="AA53" s="789"/>
      <c r="AB53" s="1169"/>
      <c r="AC53" s="1346"/>
      <c r="AD53" s="1250"/>
      <c r="AE53" s="1338"/>
      <c r="AF53" s="1169"/>
      <c r="AG53" s="169"/>
      <c r="AH53" s="110"/>
      <c r="AI53" s="110" t="s">
        <v>468</v>
      </c>
      <c r="AJ53" s="789"/>
      <c r="AK53" s="789"/>
      <c r="AL53" s="789"/>
      <c r="AM53" s="789"/>
      <c r="AN53" s="789"/>
      <c r="AO53" s="819"/>
      <c r="AP53" s="789"/>
      <c r="AQ53" s="789"/>
      <c r="AR53" s="789"/>
      <c r="AS53" s="789"/>
      <c r="AT53" s="786"/>
      <c r="AU53" s="1317"/>
      <c r="AW53" s="69"/>
      <c r="AX53" s="69"/>
      <c r="AY53" s="69"/>
      <c r="AZ53" s="69"/>
      <c r="BA53" s="11">
        <v>11</v>
      </c>
    </row>
    <row r="54" spans="1:53" ht="11.45" customHeight="1">
      <c r="A54" s="769" t="s">
        <v>206</v>
      </c>
      <c r="B54" s="769" t="s">
        <v>207</v>
      </c>
      <c r="C54" s="769" t="s">
        <v>208</v>
      </c>
      <c r="D54" s="769" t="s">
        <v>209</v>
      </c>
      <c r="E54" s="1294"/>
      <c r="F54" s="1294"/>
      <c r="G54" s="1294"/>
      <c r="H54" s="1294"/>
      <c r="I54" s="1296"/>
      <c r="J54" s="1296"/>
      <c r="K54" s="1295"/>
      <c r="L54" s="770"/>
      <c r="P54" s="1297"/>
      <c r="Q54" s="1297"/>
      <c r="R54" s="209"/>
      <c r="S54" s="1352"/>
      <c r="T54" s="1349"/>
      <c r="U54" s="171"/>
      <c r="V54" s="789"/>
      <c r="W54" s="790" t="str">
        <f>X51&amp;"-"&amp;Z51</f>
        <v>-</v>
      </c>
      <c r="X54" s="789"/>
      <c r="Y54" s="789"/>
      <c r="Z54" s="789"/>
      <c r="AA54" s="789"/>
      <c r="AB54" s="1169"/>
      <c r="AC54" s="181"/>
      <c r="AD54" s="183"/>
      <c r="AE54" s="110" t="s">
        <v>469</v>
      </c>
      <c r="AF54" s="789"/>
      <c r="AG54" s="789"/>
      <c r="AH54" s="789"/>
      <c r="AI54" s="789"/>
      <c r="AJ54" s="789"/>
      <c r="AK54" s="789"/>
      <c r="AL54" s="789"/>
      <c r="AM54" s="789"/>
      <c r="AN54" s="789"/>
      <c r="AO54" s="790" t="str">
        <f>AP51&amp;"-"&amp;AR51</f>
        <v>-</v>
      </c>
      <c r="AP54" s="789"/>
      <c r="AQ54" s="789"/>
      <c r="AR54" s="789"/>
      <c r="AS54" s="789"/>
      <c r="AT54" s="767"/>
      <c r="AU54" s="1317"/>
      <c r="AW54" s="69"/>
      <c r="AX54" s="69" t="str">
        <f t="shared" ref="AX54:AX62" si="3">IF(T54="","",T54)</f>
        <v/>
      </c>
      <c r="AY54" s="69"/>
      <c r="AZ54" s="69"/>
      <c r="BA54" s="11">
        <v>11</v>
      </c>
    </row>
    <row r="55" spans="1:53" ht="11.45" customHeight="1">
      <c r="A55" s="769" t="s">
        <v>206</v>
      </c>
      <c r="B55" s="769" t="s">
        <v>207</v>
      </c>
      <c r="C55" s="769" t="s">
        <v>208</v>
      </c>
      <c r="D55" s="769" t="s">
        <v>209</v>
      </c>
      <c r="E55" s="1294"/>
      <c r="F55" s="1294"/>
      <c r="G55" s="1294"/>
      <c r="H55" s="1294"/>
      <c r="I55" s="1296"/>
      <c r="J55" s="1295"/>
      <c r="K55" s="769"/>
      <c r="L55" s="770"/>
      <c r="P55" s="1297"/>
      <c r="Q55" s="1297"/>
      <c r="R55" s="208"/>
      <c r="S55" s="742"/>
      <c r="T55" s="166" t="s">
        <v>470</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18"/>
      <c r="AW55" s="69"/>
      <c r="AX55" s="69" t="str">
        <f t="shared" si="3"/>
        <v>Добавить строку</v>
      </c>
      <c r="AY55" s="69"/>
      <c r="AZ55" s="69"/>
      <c r="BA55" s="11">
        <v>11</v>
      </c>
    </row>
    <row r="56" spans="1:53" s="68" customFormat="1" ht="1.1499999999999999" customHeight="1">
      <c r="A56" s="145" t="s">
        <v>206</v>
      </c>
      <c r="B56" s="145" t="s">
        <v>207</v>
      </c>
      <c r="C56" s="145" t="s">
        <v>208</v>
      </c>
      <c r="D56" s="145" t="s">
        <v>209</v>
      </c>
      <c r="E56" s="1294"/>
      <c r="F56" s="1294"/>
      <c r="G56" s="1294"/>
      <c r="H56" s="1294"/>
      <c r="I56" s="1295"/>
      <c r="J56" s="145"/>
      <c r="K56" s="145"/>
      <c r="L56" s="346"/>
      <c r="M56" s="290"/>
      <c r="N56" s="290"/>
      <c r="O56" s="290"/>
      <c r="P56" s="1297"/>
      <c r="Q56" s="122"/>
      <c r="R56" s="208"/>
      <c r="S56" s="782"/>
      <c r="T56" s="783" t="s">
        <v>418</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206</v>
      </c>
      <c r="B57" s="145" t="s">
        <v>207</v>
      </c>
      <c r="C57" s="145" t="s">
        <v>208</v>
      </c>
      <c r="D57" s="145" t="s">
        <v>209</v>
      </c>
      <c r="E57" s="1294"/>
      <c r="F57" s="1294"/>
      <c r="G57" s="1294"/>
      <c r="H57" s="1293"/>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206</v>
      </c>
      <c r="B58" s="145" t="s">
        <v>207</v>
      </c>
      <c r="C58" s="145" t="s">
        <v>208</v>
      </c>
      <c r="D58" s="145"/>
      <c r="E58" s="1294"/>
      <c r="F58" s="1294"/>
      <c r="G58" s="1293"/>
      <c r="H58" s="145"/>
      <c r="I58" s="145"/>
      <c r="J58" s="145"/>
      <c r="K58" s="145"/>
      <c r="L58" s="346"/>
      <c r="M58" s="293"/>
      <c r="N58" s="293"/>
      <c r="P58" s="104"/>
      <c r="Q58" s="755"/>
      <c r="R58" s="104"/>
      <c r="S58" s="760"/>
      <c r="T58" s="762" t="s">
        <v>420</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206</v>
      </c>
      <c r="B59" s="145" t="s">
        <v>207</v>
      </c>
      <c r="C59" s="145"/>
      <c r="D59" s="145"/>
      <c r="E59" s="1294"/>
      <c r="F59" s="1293"/>
      <c r="G59" s="145"/>
      <c r="H59" s="145"/>
      <c r="I59" s="145"/>
      <c r="J59" s="145"/>
      <c r="K59" s="145"/>
      <c r="L59" s="346"/>
      <c r="M59" s="759"/>
      <c r="N59" s="759"/>
      <c r="P59" s="104"/>
      <c r="Q59" s="755"/>
      <c r="R59" s="104"/>
      <c r="S59" s="760"/>
      <c r="T59" s="762" t="s">
        <v>421</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206</v>
      </c>
      <c r="B60" s="145"/>
      <c r="C60" s="145"/>
      <c r="D60" s="145"/>
      <c r="E60" s="1294"/>
      <c r="F60" s="145"/>
      <c r="G60" s="145"/>
      <c r="H60" s="145"/>
      <c r="I60" s="145"/>
      <c r="J60" s="145"/>
      <c r="K60" s="145"/>
      <c r="L60" s="346"/>
      <c r="M60" s="759"/>
      <c r="N60" s="759"/>
      <c r="P60" s="104"/>
      <c r="Q60" s="755"/>
      <c r="R60" s="104"/>
      <c r="S60" s="760"/>
      <c r="T60" s="762" t="s">
        <v>422</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206</v>
      </c>
      <c r="B61" s="145"/>
      <c r="C61" s="145"/>
      <c r="D61" s="145"/>
      <c r="E61" s="1293"/>
      <c r="F61" s="145"/>
      <c r="G61" s="145"/>
      <c r="H61" s="145"/>
      <c r="I61" s="145"/>
      <c r="J61" s="145"/>
      <c r="K61" s="145"/>
      <c r="L61" s="346"/>
      <c r="M61" s="759"/>
      <c r="N61" s="759"/>
      <c r="P61" s="104"/>
      <c r="Q61" s="755"/>
      <c r="R61" s="104"/>
      <c r="S61" s="760"/>
      <c r="T61" s="762" t="s">
        <v>422</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450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N64" s="1292"/>
      <c r="AO64" s="1292"/>
      <c r="AP64" s="1292"/>
      <c r="AQ64" s="1292"/>
      <c r="AR64" s="1292"/>
      <c r="AS64" s="1292"/>
      <c r="AT64" s="1292"/>
      <c r="AU64" s="1292"/>
      <c r="BA64" s="11">
        <v>19</v>
      </c>
    </row>
    <row r="65" spans="1:53" ht="21" customHeight="1">
      <c r="O65" s="63"/>
      <c r="T65" s="1292"/>
      <c r="U65" s="1292"/>
      <c r="V65" s="1292"/>
      <c r="W65" s="1292"/>
      <c r="X65" s="1292"/>
      <c r="Y65" s="1292"/>
      <c r="Z65" s="1292"/>
      <c r="AA65" s="1292"/>
      <c r="AB65" s="1292"/>
      <c r="AC65" s="1292"/>
      <c r="AD65" s="1292"/>
      <c r="AE65" s="1292"/>
      <c r="AF65" s="1292"/>
      <c r="AG65" s="1292"/>
      <c r="AH65" s="1292"/>
      <c r="AI65" s="1292"/>
      <c r="AJ65" s="1292"/>
      <c r="AK65" s="1292"/>
      <c r="AL65" s="1292"/>
      <c r="AM65" s="1292"/>
      <c r="AN65" s="1292"/>
      <c r="AO65" s="1292"/>
      <c r="AP65" s="1292"/>
      <c r="AQ65" s="1292"/>
      <c r="AR65" s="1292"/>
      <c r="AS65" s="1292"/>
      <c r="AT65" s="1292"/>
      <c r="AU65" s="1292"/>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92"/>
      <c r="U67" s="1292"/>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R67" s="1292"/>
      <c r="AS67" s="1292"/>
      <c r="AT67" s="1292"/>
      <c r="AU67" s="1292"/>
      <c r="BA67" s="11">
        <v>19</v>
      </c>
    </row>
    <row r="68" spans="1:53" ht="16.899999999999999" customHeight="1">
      <c r="O68" s="63"/>
      <c r="T68" s="1292"/>
      <c r="U68" s="1292"/>
      <c r="V68" s="1292"/>
      <c r="W68" s="1292"/>
      <c r="X68" s="1292"/>
      <c r="Y68" s="1292"/>
      <c r="Z68" s="1292"/>
      <c r="AA68" s="1292"/>
      <c r="AB68" s="1292"/>
      <c r="AC68" s="1292"/>
      <c r="AD68" s="1292"/>
      <c r="AE68" s="1292"/>
      <c r="AF68" s="1292"/>
      <c r="AG68" s="1292"/>
      <c r="AH68" s="1292"/>
      <c r="AI68" s="1292"/>
      <c r="AJ68" s="1292"/>
      <c r="AK68" s="1292"/>
      <c r="AL68" s="1292"/>
      <c r="AM68" s="1292"/>
      <c r="AN68" s="1292"/>
      <c r="AO68" s="1292"/>
      <c r="AP68" s="1292"/>
      <c r="AQ68" s="1292"/>
      <c r="AR68" s="1292"/>
      <c r="AS68" s="1292"/>
      <c r="AT68" s="1292"/>
      <c r="AU68" s="1292"/>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19">
        <v>1</v>
      </c>
      <c r="F2" s="731"/>
      <c r="G2" s="731"/>
      <c r="H2" s="731"/>
      <c r="I2" s="731"/>
      <c r="J2" s="731"/>
      <c r="K2" s="731"/>
      <c r="L2" s="754"/>
      <c r="M2" s="342"/>
      <c r="N2" s="342"/>
      <c r="O2" s="342"/>
      <c r="Q2" s="62"/>
      <c r="R2" s="207"/>
      <c r="S2" s="709" t="e">
        <f>INDEX(PT_DIFFERENTIATION_NUM_NTAR,MATCH(A2,PT_DIFFERENTIATION_NTAR_ID,0))</f>
        <v>#N/A</v>
      </c>
      <c r="T2" s="67" t="s">
        <v>131</v>
      </c>
      <c r="U2" s="171"/>
      <c r="V2" s="1288"/>
      <c r="W2" s="1288"/>
      <c r="X2" s="1288"/>
      <c r="Y2" s="1288"/>
      <c r="Z2" s="1288"/>
      <c r="AA2" s="1289"/>
      <c r="AB2" s="1038"/>
      <c r="AC2" s="1288" t="e">
        <f>INDEX(PT_DIFFERENTIATION_NTAR,MATCH(A2,PT_DIFFERENTIATION_NTAR_ID,0))</f>
        <v>#N/A</v>
      </c>
      <c r="AD2" s="1288"/>
      <c r="AE2" s="1288"/>
      <c r="AF2" s="1288"/>
      <c r="AG2" s="1288"/>
      <c r="AH2" s="1288"/>
      <c r="AI2" s="1288"/>
      <c r="AJ2" s="1289"/>
      <c r="AK2" s="729" t="s">
        <v>402</v>
      </c>
      <c r="AM2" s="69"/>
      <c r="AN2" s="69" t="str">
        <f t="shared" ref="AN2:AN14" si="0">IF(T2="","",T2)</f>
        <v>Наименование тарифа</v>
      </c>
      <c r="AO2" s="69"/>
      <c r="AP2" s="69"/>
      <c r="AQ2" s="11">
        <v>0</v>
      </c>
    </row>
    <row r="3" spans="1:43" ht="21" hidden="1" customHeight="1">
      <c r="A3" s="731"/>
      <c r="B3" s="731"/>
      <c r="C3" s="731"/>
      <c r="D3" s="731"/>
      <c r="E3" s="1320"/>
      <c r="F3" s="1319">
        <v>1</v>
      </c>
      <c r="G3" s="731"/>
      <c r="H3" s="731"/>
      <c r="I3" s="731"/>
      <c r="J3" s="731"/>
      <c r="K3" s="731"/>
      <c r="L3" s="754"/>
      <c r="M3" s="342"/>
      <c r="N3" s="342"/>
      <c r="O3" s="342"/>
      <c r="P3" s="301"/>
      <c r="Q3" s="802"/>
      <c r="R3" s="205"/>
      <c r="S3" s="709" t="e">
        <f>INDEX(PT_DIFFERENTIATION_NUM_TER,MATCH(B3,PT_DIFFERENTIATION_TER_ID,0))</f>
        <v>#N/A</v>
      </c>
      <c r="T3" s="177" t="s">
        <v>403</v>
      </c>
      <c r="U3" s="171"/>
      <c r="V3" s="1288"/>
      <c r="W3" s="1288"/>
      <c r="X3" s="1288"/>
      <c r="Y3" s="1288"/>
      <c r="Z3" s="1288"/>
      <c r="AA3" s="1289"/>
      <c r="AB3" s="1038"/>
      <c r="AC3" s="1288" t="e">
        <f>INDEX(PT_DIFFERENTIATION_TER,MATCH(B3,PT_DIFFERENTIATION_TER_ID,0))</f>
        <v>#N/A</v>
      </c>
      <c r="AD3" s="1288"/>
      <c r="AE3" s="1288"/>
      <c r="AF3" s="1288"/>
      <c r="AG3" s="1288"/>
      <c r="AH3" s="1288"/>
      <c r="AI3" s="1288"/>
      <c r="AJ3" s="1289"/>
      <c r="AK3" s="729" t="s">
        <v>404</v>
      </c>
      <c r="AM3" s="69"/>
      <c r="AN3" s="69" t="str">
        <f t="shared" si="0"/>
        <v>Территория действия тарифа</v>
      </c>
      <c r="AO3" s="69"/>
      <c r="AP3" s="69"/>
      <c r="AQ3" s="11">
        <v>0</v>
      </c>
    </row>
    <row r="4" spans="1:43" ht="22.5" hidden="1" customHeight="1">
      <c r="A4" s="731"/>
      <c r="B4" s="731"/>
      <c r="C4" s="731"/>
      <c r="D4" s="731"/>
      <c r="E4" s="1320"/>
      <c r="F4" s="1320"/>
      <c r="G4" s="1319">
        <v>1</v>
      </c>
      <c r="H4" s="731"/>
      <c r="I4" s="731"/>
      <c r="J4" s="731"/>
      <c r="K4" s="731"/>
      <c r="L4" s="754"/>
      <c r="M4" s="342"/>
      <c r="N4" s="342"/>
      <c r="O4" s="342"/>
      <c r="P4" s="131"/>
      <c r="Q4" s="802"/>
      <c r="R4" s="205"/>
      <c r="S4" s="709" t="e">
        <f>INDEX(PT_DIFFERENTIATION_NUM_CS,MATCH(C4,PT_DIFFERENTIATION_CS_ID,0))</f>
        <v>#N/A</v>
      </c>
      <c r="T4" s="178" t="s">
        <v>405</v>
      </c>
      <c r="U4" s="171"/>
      <c r="V4" s="1288"/>
      <c r="W4" s="1288"/>
      <c r="X4" s="1288"/>
      <c r="Y4" s="1288"/>
      <c r="Z4" s="1288"/>
      <c r="AA4" s="1289"/>
      <c r="AB4" s="1038"/>
      <c r="AC4" s="1288" t="e">
        <f>INDEX(PT_DIFFERENTIATION_CS,MATCH(C4,PT_DIFFERENTIATION_CS_ID,0))</f>
        <v>#N/A</v>
      </c>
      <c r="AD4" s="1288"/>
      <c r="AE4" s="1288"/>
      <c r="AF4" s="1288"/>
      <c r="AG4" s="1288"/>
      <c r="AH4" s="1288"/>
      <c r="AI4" s="1288"/>
      <c r="AJ4" s="1289"/>
      <c r="AK4" s="729" t="s">
        <v>406</v>
      </c>
      <c r="AM4" s="69"/>
      <c r="AN4" s="69" t="str">
        <f t="shared" si="0"/>
        <v xml:space="preserve">Наименование системы теплоснабжения </v>
      </c>
      <c r="AO4" s="69"/>
      <c r="AP4" s="69"/>
      <c r="AQ4" s="11">
        <v>0</v>
      </c>
    </row>
    <row r="5" spans="1:43" ht="21" hidden="1" customHeight="1">
      <c r="A5" s="731"/>
      <c r="B5" s="731"/>
      <c r="C5" s="731"/>
      <c r="D5" s="731"/>
      <c r="E5" s="1320"/>
      <c r="F5" s="1320"/>
      <c r="G5" s="1320"/>
      <c r="H5" s="1319">
        <v>1</v>
      </c>
      <c r="I5" s="731"/>
      <c r="J5" s="731"/>
      <c r="K5" s="731"/>
      <c r="L5" s="754"/>
      <c r="M5" s="342"/>
      <c r="N5" s="342"/>
      <c r="O5" s="342"/>
      <c r="P5" s="131"/>
      <c r="Q5" s="802"/>
      <c r="R5" s="205"/>
      <c r="S5" s="709" t="e">
        <f>INDEX(PT_DIFFERENTIATION_NUM_IST_TE,MATCH(D5,PT_DIFFERENTIATION_IST_TE_ID,0))</f>
        <v>#N/A</v>
      </c>
      <c r="T5" s="179" t="s">
        <v>407</v>
      </c>
      <c r="U5" s="171"/>
      <c r="V5" s="1288"/>
      <c r="W5" s="1288"/>
      <c r="X5" s="1288"/>
      <c r="Y5" s="1288"/>
      <c r="Z5" s="1288"/>
      <c r="AA5" s="1289"/>
      <c r="AB5" s="1038"/>
      <c r="AC5" s="1288" t="e">
        <f>INDEX(PT_DIFFERENTIATION_IST_TE,MATCH(D5,PT_DIFFERENTIATION_IST_TE_ID,0))</f>
        <v>#N/A</v>
      </c>
      <c r="AD5" s="1288"/>
      <c r="AE5" s="1288"/>
      <c r="AF5" s="1288"/>
      <c r="AG5" s="1288"/>
      <c r="AH5" s="1288"/>
      <c r="AI5" s="1288"/>
      <c r="AJ5" s="1289"/>
      <c r="AK5" s="729" t="s">
        <v>408</v>
      </c>
      <c r="AM5" s="69"/>
      <c r="AN5" s="69" t="str">
        <f t="shared" si="0"/>
        <v xml:space="preserve">Источник тепловой энергии  </v>
      </c>
      <c r="AO5" s="69"/>
      <c r="AP5" s="69"/>
      <c r="AQ5" s="11">
        <v>0</v>
      </c>
    </row>
    <row r="6" spans="1:43" s="68" customFormat="1" ht="0.75" hidden="1" customHeight="1">
      <c r="A6" s="774"/>
      <c r="B6" s="774"/>
      <c r="C6" s="774"/>
      <c r="D6" s="774"/>
      <c r="E6" s="1320"/>
      <c r="F6" s="1320"/>
      <c r="G6" s="1320"/>
      <c r="H6" s="1320"/>
      <c r="I6" s="1159" t="e">
        <f>S5&amp;".1"</f>
        <v>#N/A</v>
      </c>
      <c r="J6" s="774"/>
      <c r="K6" s="774"/>
      <c r="L6" s="775" t="s">
        <v>409</v>
      </c>
      <c r="M6" s="722"/>
      <c r="N6" s="722"/>
      <c r="O6" s="722"/>
      <c r="P6" s="1297">
        <v>1</v>
      </c>
      <c r="Q6" s="122"/>
      <c r="R6" s="208"/>
      <c r="S6" s="362"/>
      <c r="T6" s="779"/>
      <c r="U6" s="780"/>
      <c r="V6" s="1325"/>
      <c r="W6" s="1325"/>
      <c r="X6" s="1325"/>
      <c r="Y6" s="1325"/>
      <c r="Z6" s="1325"/>
      <c r="AA6" s="1326"/>
      <c r="AB6" s="1040"/>
      <c r="AC6" s="1325"/>
      <c r="AD6" s="1325"/>
      <c r="AE6" s="1325"/>
      <c r="AF6" s="1325"/>
      <c r="AG6" s="1325"/>
      <c r="AH6" s="1325"/>
      <c r="AI6" s="1325"/>
      <c r="AJ6" s="1326"/>
      <c r="AK6" s="781"/>
      <c r="AM6" s="69"/>
      <c r="AN6" s="69" t="str">
        <f t="shared" si="0"/>
        <v/>
      </c>
      <c r="AO6" s="69"/>
      <c r="AP6" s="69"/>
      <c r="AQ6" s="68">
        <v>0</v>
      </c>
    </row>
    <row r="7" spans="1:43" s="68" customFormat="1" ht="0.75" hidden="1" customHeight="1">
      <c r="A7" s="774"/>
      <c r="B7" s="774"/>
      <c r="C7" s="774"/>
      <c r="D7" s="774"/>
      <c r="E7" s="1320"/>
      <c r="F7" s="1320"/>
      <c r="G7" s="1320"/>
      <c r="H7" s="1320"/>
      <c r="I7" s="1123"/>
      <c r="J7" s="1159" t="e">
        <f>S5&amp;".1"</f>
        <v>#N/A</v>
      </c>
      <c r="K7" s="774"/>
      <c r="L7" s="775"/>
      <c r="M7" s="722"/>
      <c r="N7" s="722"/>
      <c r="O7" s="722"/>
      <c r="P7" s="1297"/>
      <c r="Q7" s="1297">
        <v>1</v>
      </c>
      <c r="R7" s="209"/>
      <c r="S7" s="362"/>
      <c r="T7" s="794"/>
      <c r="U7" s="780"/>
      <c r="V7" s="1325"/>
      <c r="W7" s="1325"/>
      <c r="X7" s="1325"/>
      <c r="Y7" s="1325"/>
      <c r="Z7" s="1325"/>
      <c r="AA7" s="1326"/>
      <c r="AB7" s="1040"/>
      <c r="AC7" s="1325"/>
      <c r="AD7" s="1325"/>
      <c r="AE7" s="1325"/>
      <c r="AF7" s="1325"/>
      <c r="AG7" s="1325"/>
      <c r="AH7" s="1325"/>
      <c r="AI7" s="1325"/>
      <c r="AJ7" s="1326"/>
      <c r="AK7" s="781"/>
      <c r="AM7" s="69"/>
      <c r="AN7" s="69" t="str">
        <f t="shared" si="0"/>
        <v/>
      </c>
      <c r="AO7" s="69"/>
      <c r="AP7" s="69"/>
      <c r="AQ7" s="68">
        <v>0</v>
      </c>
    </row>
    <row r="8" spans="1:43" ht="21" hidden="1" customHeight="1">
      <c r="A8" s="731"/>
      <c r="B8" s="731"/>
      <c r="C8" s="731"/>
      <c r="D8" s="731"/>
      <c r="E8" s="1320"/>
      <c r="F8" s="1320"/>
      <c r="G8" s="1320"/>
      <c r="H8" s="1320"/>
      <c r="I8" s="1123"/>
      <c r="J8" s="1123"/>
      <c r="K8" s="41" t="e">
        <f>S5&amp;".1"</f>
        <v>#N/A</v>
      </c>
      <c r="L8" s="754"/>
      <c r="P8" s="1297"/>
      <c r="Q8" s="1297"/>
      <c r="R8" s="1055">
        <v>1</v>
      </c>
      <c r="S8" s="1042" t="e">
        <f>$K8</f>
        <v>#N/A</v>
      </c>
      <c r="T8" s="1041"/>
      <c r="U8" s="171"/>
      <c r="V8" s="306"/>
      <c r="W8" s="728"/>
      <c r="X8" s="943"/>
      <c r="Y8" s="297" t="s">
        <v>62</v>
      </c>
      <c r="Z8" s="943"/>
      <c r="AA8" s="297" t="s">
        <v>62</v>
      </c>
      <c r="AB8" s="1044"/>
      <c r="AC8" s="1043" t="s">
        <v>22</v>
      </c>
      <c r="AD8" s="306"/>
      <c r="AE8" s="728"/>
      <c r="AF8" s="943"/>
      <c r="AG8" s="297" t="s">
        <v>62</v>
      </c>
      <c r="AH8" s="943"/>
      <c r="AI8" s="297" t="s">
        <v>62</v>
      </c>
      <c r="AJ8" s="766"/>
      <c r="AK8" s="1316" t="s">
        <v>466</v>
      </c>
      <c r="AL8" s="68" t="e">
        <f ca="1">STRCHECKDATE(#REF!)</f>
        <v>#NAME?</v>
      </c>
      <c r="AM8" s="69"/>
      <c r="AN8" s="69" t="str">
        <f t="shared" si="0"/>
        <v/>
      </c>
      <c r="AO8" s="69"/>
      <c r="AP8" s="69"/>
      <c r="AQ8" s="11">
        <v>0</v>
      </c>
    </row>
    <row r="9" spans="1:43" ht="11.25" hidden="1" customHeight="1">
      <c r="A9" s="731"/>
      <c r="B9" s="731"/>
      <c r="C9" s="731"/>
      <c r="D9" s="731"/>
      <c r="E9" s="1320"/>
      <c r="F9" s="1320"/>
      <c r="G9" s="1320"/>
      <c r="H9" s="1320"/>
      <c r="I9" s="1123"/>
      <c r="J9" s="1159"/>
      <c r="K9" s="731"/>
      <c r="L9" s="754"/>
      <c r="P9" s="1297"/>
      <c r="Q9" s="1297"/>
      <c r="R9" s="208"/>
      <c r="S9" s="742"/>
      <c r="T9" s="166" t="s">
        <v>470</v>
      </c>
      <c r="U9" s="213"/>
      <c r="V9" s="213"/>
      <c r="W9" s="213"/>
      <c r="X9" s="213"/>
      <c r="Y9" s="213"/>
      <c r="Z9" s="213"/>
      <c r="AA9" s="213"/>
      <c r="AB9" s="213"/>
      <c r="AC9" s="213"/>
      <c r="AD9" s="213"/>
      <c r="AE9" s="213"/>
      <c r="AF9" s="213"/>
      <c r="AG9" s="213"/>
      <c r="AH9" s="213"/>
      <c r="AI9" s="213"/>
      <c r="AJ9" s="190"/>
      <c r="AK9" s="1318"/>
      <c r="AM9" s="69"/>
      <c r="AN9" s="69" t="str">
        <f t="shared" si="0"/>
        <v>Добавить строку</v>
      </c>
      <c r="AO9" s="69"/>
      <c r="AP9" s="69"/>
      <c r="AQ9" s="11">
        <v>0</v>
      </c>
    </row>
    <row r="10" spans="1:43" s="68" customFormat="1" ht="0.75" hidden="1" customHeight="1">
      <c r="A10" s="774"/>
      <c r="B10" s="774"/>
      <c r="C10" s="774"/>
      <c r="D10" s="774"/>
      <c r="E10" s="1320"/>
      <c r="F10" s="1320"/>
      <c r="G10" s="1320"/>
      <c r="H10" s="1320"/>
      <c r="I10" s="1159"/>
      <c r="J10" s="774"/>
      <c r="K10" s="774"/>
      <c r="L10" s="775"/>
      <c r="M10" s="722"/>
      <c r="N10" s="722"/>
      <c r="O10" s="722"/>
      <c r="P10" s="1297"/>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20"/>
      <c r="F11" s="1320"/>
      <c r="G11" s="1320"/>
      <c r="H11" s="1319"/>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20"/>
      <c r="F12" s="1320"/>
      <c r="G12" s="1319"/>
      <c r="H12" s="774"/>
      <c r="I12" s="774"/>
      <c r="J12" s="774"/>
      <c r="K12" s="774"/>
      <c r="L12" s="775"/>
      <c r="M12" s="776"/>
      <c r="N12" s="776"/>
      <c r="O12" s="203"/>
      <c r="P12" s="104"/>
      <c r="Q12" s="755"/>
      <c r="R12" s="104"/>
      <c r="S12" s="760"/>
      <c r="T12" s="762" t="s">
        <v>420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20"/>
      <c r="F13" s="1319"/>
      <c r="G13" s="774"/>
      <c r="H13" s="774"/>
      <c r="I13" s="774"/>
      <c r="J13" s="774"/>
      <c r="K13" s="774"/>
      <c r="L13" s="775"/>
      <c r="M13" s="777"/>
      <c r="N13" s="777"/>
      <c r="O13" s="203"/>
      <c r="P13" s="104"/>
      <c r="Q13" s="755"/>
      <c r="R13" s="104"/>
      <c r="S13" s="760"/>
      <c r="T13" s="762" t="s">
        <v>421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19"/>
      <c r="F14" s="774"/>
      <c r="G14" s="774"/>
      <c r="H14" s="774"/>
      <c r="I14" s="774"/>
      <c r="J14" s="774"/>
      <c r="K14" s="774"/>
      <c r="L14" s="775"/>
      <c r="M14" s="777"/>
      <c r="N14" s="777"/>
      <c r="O14" s="203"/>
      <c r="P14" s="104"/>
      <c r="Q14" s="755"/>
      <c r="R14" s="104"/>
      <c r="S14" s="760"/>
      <c r="T14" s="762" t="s">
        <v>422</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62</v>
      </c>
      <c r="AH16" s="945"/>
      <c r="AI16" s="816" t="s">
        <v>62</v>
      </c>
      <c r="AQ16" s="11">
        <v>0</v>
      </c>
    </row>
    <row r="17" spans="1:43" ht="14.25" hidden="1" customHeight="1">
      <c r="AL17" s="203"/>
      <c r="AM17" s="203"/>
      <c r="AN17" s="203"/>
      <c r="AO17" s="203"/>
      <c r="AP17" s="203"/>
      <c r="AQ17" s="11">
        <v>0</v>
      </c>
    </row>
    <row r="18" spans="1:43" ht="14.25" hidden="1" customHeight="1">
      <c r="O18" s="764" t="s">
        <v>423</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6"/>
      <c r="B20" s="1046"/>
      <c r="C20" s="1046"/>
      <c r="D20" s="1046"/>
      <c r="E20" s="1046"/>
      <c r="F20" s="1046"/>
      <c r="G20" s="1046"/>
      <c r="H20" s="1046"/>
      <c r="I20" s="1046"/>
      <c r="J20" s="1046"/>
      <c r="K20" s="1046"/>
      <c r="L20" s="1046"/>
      <c r="M20" s="1047"/>
      <c r="N20" s="1047"/>
      <c r="O20" s="1046" t="s">
        <v>424</v>
      </c>
      <c r="P20" s="830"/>
      <c r="Q20" s="831"/>
      <c r="R20" s="831"/>
      <c r="Y20" s="829" t="s">
        <v>426</v>
      </c>
      <c r="AA20" s="829" t="s">
        <v>427</v>
      </c>
      <c r="AC20" s="829" t="s">
        <v>472</v>
      </c>
      <c r="AG20" s="829" t="s">
        <v>426</v>
      </c>
      <c r="AI20" s="829" t="s">
        <v>427</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74"/>
      <c r="U24" s="1274"/>
      <c r="V24" s="1274"/>
      <c r="W24" s="1274"/>
      <c r="X24" s="1274"/>
      <c r="Y24" s="1274"/>
      <c r="Z24" s="1274"/>
      <c r="AA24" s="1274"/>
      <c r="AB24" s="1274"/>
      <c r="AC24" s="1274"/>
      <c r="AD24" s="1274"/>
      <c r="AE24" s="1274"/>
      <c r="AF24" s="1274"/>
      <c r="AG24" s="1274"/>
      <c r="AH24" s="1274"/>
      <c r="AI24" s="59"/>
      <c r="AQ24" s="11">
        <v>38</v>
      </c>
    </row>
    <row r="25" spans="1:43" ht="14.65" customHeight="1">
      <c r="Q25" s="16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36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362"/>
      <c r="U27" s="773"/>
      <c r="V27" s="1286" t="str">
        <f>IF(TITLE_NAME_OR_PR_CHANGE="",IF(TITLE_NAME_OR_PR="","",TITLE_NAME_OR_PR),TITLE_NAME_OR_PR_CHANGE)</f>
        <v/>
      </c>
      <c r="W27" s="1286"/>
      <c r="X27" s="1286"/>
      <c r="Y27" s="1286"/>
      <c r="Z27" s="1286"/>
      <c r="AA27" s="11"/>
      <c r="AB27" s="11"/>
      <c r="AC27" s="1286"/>
      <c r="AD27" s="1286"/>
      <c r="AE27" s="1286"/>
      <c r="AF27" s="1286"/>
      <c r="AG27" s="1286"/>
      <c r="AH27" s="1286"/>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361" t="str">
        <f>"Дата документа об "&amp;IF(TITLE_DATE_PR_CHANGE="","утверждении","изменении")&amp;" тарифов"</f>
        <v>Дата документа об утверждении тарифов</v>
      </c>
      <c r="T28" s="1362"/>
      <c r="U28" s="773"/>
      <c r="V28" s="1285" t="str">
        <f>IF(TITLE_DATE_PR_CHANGE="",IF(TITLE_DATE_PR="","",TITLE_DATE_PR),TITLE_DATE_PR_CHANGE)</f>
        <v/>
      </c>
      <c r="W28" s="1285"/>
      <c r="X28" s="1285"/>
      <c r="Y28" s="1285"/>
      <c r="Z28" s="1285"/>
      <c r="AA28" s="11"/>
      <c r="AB28" s="11"/>
      <c r="AC28" s="1285"/>
      <c r="AD28" s="1285"/>
      <c r="AE28" s="1285"/>
      <c r="AF28" s="1285"/>
      <c r="AG28" s="1285"/>
      <c r="AH28" s="1285"/>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361" t="str">
        <f>"Номер документа об "&amp;IF(TITLE_DATE_PR_CHANGE="","утверждении","изменении")&amp;" тарифов"</f>
        <v>Номер документа об утверждении тарифов</v>
      </c>
      <c r="T29" s="1362"/>
      <c r="U29" s="773"/>
      <c r="V29" s="1286" t="str">
        <f>IF(TITLE_NUMBER_PR_CHANGE="",IF(TITLE_NUMBER_PR="","",TITLE_NUMBER_PR),TITLE_NUMBER_PR_CHANGE)</f>
        <v/>
      </c>
      <c r="W29" s="1286"/>
      <c r="X29" s="1286"/>
      <c r="Y29" s="1286"/>
      <c r="Z29" s="1286"/>
      <c r="AA29" s="11"/>
      <c r="AB29" s="11"/>
      <c r="AC29" s="1286"/>
      <c r="AD29" s="1286"/>
      <c r="AE29" s="1286"/>
      <c r="AF29" s="1286"/>
      <c r="AG29" s="1286"/>
      <c r="AH29" s="1286"/>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361" t="s">
        <v>43</v>
      </c>
      <c r="T30" s="1362"/>
      <c r="U30" s="773"/>
      <c r="V30" s="1286" t="str">
        <f>IF(TITLE_IST_PUB_CHANGE="",IF(TITLE_IST_PUB="","",TITLE_IST_PUB),TITLE_IST_PUB_CHANGE)</f>
        <v/>
      </c>
      <c r="W30" s="1286"/>
      <c r="X30" s="1286"/>
      <c r="Y30" s="1286"/>
      <c r="Z30" s="1286"/>
      <c r="AA30" s="11"/>
      <c r="AB30" s="11"/>
      <c r="AC30" s="1286"/>
      <c r="AD30" s="1286"/>
      <c r="AE30" s="1286"/>
      <c r="AF30" s="1286"/>
      <c r="AG30" s="1286"/>
      <c r="AH30" s="1286"/>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361" t="str">
        <f>"Дата подачи заявления об "&amp;IF(TITLE_DATE_PR_CHANGE="","утверждении","изменении")&amp;" тарифов"</f>
        <v>Дата подачи заявления об утверждении тарифов</v>
      </c>
      <c r="T32" s="1362"/>
      <c r="U32" s="773"/>
      <c r="V32" s="1285" t="str">
        <f>IF(TITLE_DATE_PR_CHANGE="",IF(TITLE_DATE_PR="","",TITLE_DATE_PR),TITLE_DATE_PR_CHANGE)</f>
        <v/>
      </c>
      <c r="W32" s="1285"/>
      <c r="X32" s="1285"/>
      <c r="Y32" s="1285"/>
      <c r="Z32" s="1285"/>
      <c r="AA32" s="11"/>
      <c r="AB32" s="11"/>
      <c r="AC32" s="1285"/>
      <c r="AD32" s="1285"/>
      <c r="AE32" s="1285"/>
      <c r="AF32" s="1285"/>
      <c r="AG32" s="1285"/>
      <c r="AH32" s="1285"/>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361" t="str">
        <f>"Номер подачи заявления об "&amp;IF(TITLE_DATE_PR_CHANGE="","утверждении","изменении")&amp;" тарифов"</f>
        <v>Номер подачи заявления об утверждении тарифов</v>
      </c>
      <c r="T33" s="1362"/>
      <c r="U33" s="773"/>
      <c r="V33" s="1286" t="str">
        <f>IF(TITLE_NUMBER_PR_CHANGE="",IF(TITLE_NUMBER_PR="","",TITLE_NUMBER_PR),TITLE_NUMBER_PR_CHANGE)</f>
        <v/>
      </c>
      <c r="W33" s="1286"/>
      <c r="X33" s="1286"/>
      <c r="Y33" s="1286"/>
      <c r="Z33" s="1286"/>
      <c r="AA33" s="11"/>
      <c r="AB33" s="11"/>
      <c r="AC33" s="1286"/>
      <c r="AD33" s="1286"/>
      <c r="AE33" s="1286"/>
      <c r="AF33" s="1286"/>
      <c r="AG33" s="1286"/>
      <c r="AH33" s="1286"/>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429</v>
      </c>
      <c r="AB34" s="68"/>
      <c r="AC34" s="11"/>
      <c r="AD34" s="11"/>
      <c r="AE34" s="11"/>
      <c r="AF34" s="11"/>
      <c r="AG34" s="11"/>
      <c r="AH34" s="11"/>
      <c r="AI34" s="68" t="s">
        <v>429</v>
      </c>
      <c r="AL34" s="69"/>
      <c r="AM34" s="69"/>
      <c r="AN34" s="69"/>
      <c r="AO34" s="69"/>
      <c r="AP34" s="69"/>
      <c r="AQ34" s="35">
        <v>1</v>
      </c>
    </row>
    <row r="35" spans="1:43" ht="14.65" customHeight="1">
      <c r="Q35" s="168"/>
      <c r="R35" s="28"/>
      <c r="S35" s="739"/>
      <c r="T35" s="10"/>
      <c r="U35" s="720"/>
      <c r="V35" s="1305"/>
      <c r="W35" s="1305"/>
      <c r="X35" s="1305"/>
      <c r="Y35" s="1305"/>
      <c r="Z35" s="1305"/>
      <c r="AA35" s="1305"/>
      <c r="AB35" s="1039"/>
      <c r="AC35" s="1305"/>
      <c r="AD35" s="1305"/>
      <c r="AE35" s="1305"/>
      <c r="AF35" s="1305"/>
      <c r="AG35" s="1305"/>
      <c r="AH35" s="1305"/>
      <c r="AI35" s="1305"/>
      <c r="AQ35" s="11">
        <v>14</v>
      </c>
    </row>
    <row r="36" spans="1:43" ht="14.65" customHeight="1">
      <c r="Q36" s="168"/>
      <c r="R36" s="28"/>
      <c r="S36" s="1159" t="s">
        <v>306</v>
      </c>
      <c r="T36" s="1159"/>
      <c r="U36" s="1159"/>
      <c r="V36" s="1159"/>
      <c r="W36" s="1159"/>
      <c r="X36" s="1159"/>
      <c r="Y36" s="1159"/>
      <c r="Z36" s="1159"/>
      <c r="AA36" s="1224"/>
      <c r="AB36" s="1224"/>
      <c r="AC36" s="1224"/>
      <c r="AD36" s="1159"/>
      <c r="AE36" s="1159"/>
      <c r="AF36" s="1159"/>
      <c r="AG36" s="1159"/>
      <c r="AH36" s="1159"/>
      <c r="AI36" s="1159"/>
      <c r="AJ36" s="1159"/>
      <c r="AK36" s="1159" t="s">
        <v>307</v>
      </c>
      <c r="AQ36" s="11">
        <v>14</v>
      </c>
    </row>
    <row r="37" spans="1:43" ht="14.65" customHeight="1">
      <c r="Q37" s="168"/>
      <c r="R37" s="28"/>
      <c r="S37" s="1306" t="s">
        <v>88</v>
      </c>
      <c r="T37" s="1254" t="s">
        <v>483</v>
      </c>
      <c r="U37" s="172"/>
      <c r="V37" s="1308"/>
      <c r="W37" s="1308"/>
      <c r="X37" s="1308"/>
      <c r="Y37" s="1308"/>
      <c r="Z37" s="1308"/>
      <c r="AA37" s="1254" t="s">
        <v>432</v>
      </c>
      <c r="AB37" s="1253" t="s">
        <v>484</v>
      </c>
      <c r="AC37" s="1253" t="s">
        <v>476</v>
      </c>
      <c r="AD37" s="1323" t="s">
        <v>431</v>
      </c>
      <c r="AE37" s="1323"/>
      <c r="AF37" s="1308"/>
      <c r="AG37" s="1308"/>
      <c r="AH37" s="1309"/>
      <c r="AI37" s="1310" t="s">
        <v>432</v>
      </c>
      <c r="AJ37" s="1313" t="s">
        <v>434</v>
      </c>
      <c r="AK37" s="1159"/>
      <c r="AQ37" s="11">
        <v>14</v>
      </c>
    </row>
    <row r="38" spans="1:43" ht="35.65" customHeight="1">
      <c r="Q38" s="168"/>
      <c r="R38" s="28"/>
      <c r="S38" s="1306"/>
      <c r="T38" s="1254"/>
      <c r="U38" s="607"/>
      <c r="V38" s="1" t="s">
        <v>479</v>
      </c>
      <c r="W38" s="1159"/>
      <c r="X38" s="1225" t="s">
        <v>438</v>
      </c>
      <c r="Y38" s="1335"/>
      <c r="Z38" s="1335"/>
      <c r="AA38" s="1254"/>
      <c r="AB38" s="1253"/>
      <c r="AC38" s="1253"/>
      <c r="AD38" s="1" t="s">
        <v>479</v>
      </c>
      <c r="AE38" s="1159"/>
      <c r="AF38" s="1335" t="s">
        <v>438</v>
      </c>
      <c r="AG38" s="1335"/>
      <c r="AH38" s="1226"/>
      <c r="AI38" s="1311"/>
      <c r="AJ38" s="1314"/>
      <c r="AK38" s="1159"/>
      <c r="AQ38" s="11">
        <v>34</v>
      </c>
    </row>
    <row r="39" spans="1:43" ht="14.65" customHeight="1">
      <c r="Q39" s="168"/>
      <c r="R39" s="28"/>
      <c r="S39" s="1306"/>
      <c r="T39" s="1254"/>
      <c r="U39" s="607"/>
      <c r="V39" s="1359" t="str">
        <f>IF($AD$39&lt;&gt;"",$AD$39,"")</f>
        <v/>
      </c>
      <c r="W39" s="1359"/>
      <c r="X39" s="1230"/>
      <c r="Y39" s="1336"/>
      <c r="Z39" s="1336"/>
      <c r="AA39" s="1254"/>
      <c r="AB39" s="1253"/>
      <c r="AC39" s="1253"/>
      <c r="AD39" s="1363"/>
      <c r="AE39" s="1358"/>
      <c r="AF39" s="1336"/>
      <c r="AG39" s="1336"/>
      <c r="AH39" s="1231"/>
      <c r="AI39" s="1311"/>
      <c r="AJ39" s="1314"/>
      <c r="AK39" s="1159"/>
      <c r="AQ39" s="11">
        <v>14</v>
      </c>
    </row>
    <row r="40" spans="1:43" ht="14.65" customHeight="1">
      <c r="A40" s="17"/>
      <c r="B40" s="17" t="s">
        <v>143</v>
      </c>
      <c r="C40" s="17" t="s">
        <v>144</v>
      </c>
      <c r="D40" s="17" t="s">
        <v>145</v>
      </c>
      <c r="E40" s="754" t="s">
        <v>439</v>
      </c>
      <c r="F40" s="754" t="s">
        <v>440</v>
      </c>
      <c r="G40" s="754" t="s">
        <v>441</v>
      </c>
      <c r="H40" s="754" t="s">
        <v>442</v>
      </c>
      <c r="I40" s="754" t="s">
        <v>443</v>
      </c>
      <c r="J40" s="754" t="s">
        <v>444</v>
      </c>
      <c r="K40" s="754" t="s">
        <v>445</v>
      </c>
      <c r="L40" s="754" t="s">
        <v>424</v>
      </c>
      <c r="Q40" s="168"/>
      <c r="R40" s="28"/>
      <c r="S40" s="1306"/>
      <c r="T40" s="1254"/>
      <c r="U40" s="173"/>
      <c r="V40" s="36" t="s">
        <v>480</v>
      </c>
      <c r="W40" s="36" t="s">
        <v>481</v>
      </c>
      <c r="X40" s="39" t="s">
        <v>448</v>
      </c>
      <c r="Y40" s="1259" t="s">
        <v>449</v>
      </c>
      <c r="Z40" s="1272"/>
      <c r="AA40" s="1254"/>
      <c r="AB40" s="1253"/>
      <c r="AC40" s="1253"/>
      <c r="AD40" s="1045" t="s">
        <v>480</v>
      </c>
      <c r="AE40" s="1002" t="s">
        <v>481</v>
      </c>
      <c r="AF40" s="39" t="s">
        <v>448</v>
      </c>
      <c r="AG40" s="1259" t="s">
        <v>449</v>
      </c>
      <c r="AH40" s="1273"/>
      <c r="AI40" s="1312"/>
      <c r="AJ40" s="1315"/>
      <c r="AK40" s="1159"/>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109</v>
      </c>
      <c r="T41" s="726" t="s">
        <v>110</v>
      </c>
      <c r="U41" s="721" t="str">
        <f ca="1">OFFSET(U41,0,-1)</f>
        <v>2</v>
      </c>
      <c r="V41" s="727">
        <f ca="1">OFFSET(V41,0,-1)+1</f>
        <v>3</v>
      </c>
      <c r="W41" s="727">
        <f ca="1">OFFSET(W41,0,-1)+1</f>
        <v>4</v>
      </c>
      <c r="X41" s="727">
        <f ca="1">OFFSET(X41,0,-1)+1</f>
        <v>5</v>
      </c>
      <c r="Y41" s="1304">
        <f ca="1">OFFSET(Y41,0,-1)+1</f>
        <v>6</v>
      </c>
      <c r="Z41" s="1304"/>
      <c r="AA41" s="286">
        <f ca="1">OFFSET(AA41,0,-2)+1</f>
        <v>7</v>
      </c>
      <c r="AB41" s="286"/>
      <c r="AC41" s="286"/>
      <c r="AD41" s="727">
        <f ca="1">OFFSET(AD41,0,-1)+1</f>
        <v>1</v>
      </c>
      <c r="AE41" s="727">
        <f ca="1">OFFSET(AE41,0,-1)+1</f>
        <v>2</v>
      </c>
      <c r="AF41" s="727">
        <f ca="1">OFFSET(AF41,0,-1)+1</f>
        <v>3</v>
      </c>
      <c r="AG41" s="1304">
        <f ca="1">OFFSET(AG41,0,-1)+1</f>
        <v>4</v>
      </c>
      <c r="AH41" s="1304"/>
      <c r="AI41" s="727">
        <f ca="1">OFFSET(AI41,0,-2)+1</f>
        <v>5</v>
      </c>
      <c r="AJ41" s="721">
        <f ca="1">OFFSET(AJ41,0,-1)</f>
        <v>5</v>
      </c>
      <c r="AK41" s="727">
        <f ca="1">OFFSET(AK41,0,-1)+1</f>
        <v>6</v>
      </c>
      <c r="AL41" s="68"/>
      <c r="AM41" s="68"/>
      <c r="AN41" s="68"/>
      <c r="AO41" s="68"/>
      <c r="AP41" s="68"/>
      <c r="AQ41" s="203">
        <v>0</v>
      </c>
    </row>
    <row r="42" spans="1:43" ht="107.25" customHeight="1">
      <c r="A42" s="731" t="s">
        <v>212</v>
      </c>
      <c r="B42" s="731"/>
      <c r="C42" s="731"/>
      <c r="D42" s="731"/>
      <c r="E42" s="1319">
        <v>1</v>
      </c>
      <c r="F42" s="731"/>
      <c r="G42" s="731"/>
      <c r="H42" s="731"/>
      <c r="I42" s="731"/>
      <c r="J42" s="731"/>
      <c r="K42" s="731"/>
      <c r="L42" s="754"/>
      <c r="M42" s="342"/>
      <c r="N42" s="342"/>
      <c r="O42" s="342"/>
      <c r="Q42" s="62"/>
      <c r="R42" s="207"/>
      <c r="S42" s="709">
        <f>INDEX(PT_DIFFERENTIATION_NUM_NTAR,MATCH(A42,PT_DIFFERENTIATION_NTAR_ID,0))</f>
        <v>0</v>
      </c>
      <c r="T42" s="67" t="s">
        <v>131</v>
      </c>
      <c r="U42" s="171"/>
      <c r="V42" s="1288"/>
      <c r="W42" s="1288"/>
      <c r="X42" s="1288"/>
      <c r="Y42" s="1288"/>
      <c r="Z42" s="1288"/>
      <c r="AA42" s="1289"/>
      <c r="AB42" s="1038"/>
      <c r="AC42" s="1288" t="str">
        <f>INDEX(PT_DIFFERENTIATION_NTAR,MATCH(A42,PT_DIFFERENTIATION_NTAR_ID,0))</f>
        <v/>
      </c>
      <c r="AD42" s="1288"/>
      <c r="AE42" s="1288"/>
      <c r="AF42" s="1288"/>
      <c r="AG42" s="1288"/>
      <c r="AH42" s="1288"/>
      <c r="AI42" s="1288"/>
      <c r="AJ42" s="1289"/>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212</v>
      </c>
      <c r="B43" s="731" t="s">
        <v>213</v>
      </c>
      <c r="C43" s="731"/>
      <c r="D43" s="731"/>
      <c r="E43" s="1320"/>
      <c r="F43" s="1319">
        <v>1</v>
      </c>
      <c r="G43" s="731"/>
      <c r="H43" s="731"/>
      <c r="I43" s="731"/>
      <c r="J43" s="731"/>
      <c r="K43" s="731"/>
      <c r="L43" s="754"/>
      <c r="M43" s="342"/>
      <c r="N43" s="342"/>
      <c r="O43" s="342"/>
      <c r="P43" s="301"/>
      <c r="Q43" s="802"/>
      <c r="R43" s="205"/>
      <c r="S43" s="709" t="str">
        <f>INDEX(PT_DIFFERENTIATION_NUM_TER,MATCH(B43,PT_DIFFERENTIATION_TER_ID,0))</f>
        <v>.</v>
      </c>
      <c r="T43" s="177" t="s">
        <v>403</v>
      </c>
      <c r="U43" s="171"/>
      <c r="V43" s="1288"/>
      <c r="W43" s="1288"/>
      <c r="X43" s="1288"/>
      <c r="Y43" s="1288"/>
      <c r="Z43" s="1288"/>
      <c r="AA43" s="1289"/>
      <c r="AB43" s="1038"/>
      <c r="AC43" s="1288" t="str">
        <f>INDEX(PT_DIFFERENTIATION_TER,MATCH(B43,PT_DIFFERENTIATION_TER_ID,0))</f>
        <v/>
      </c>
      <c r="AD43" s="1288"/>
      <c r="AE43" s="1288"/>
      <c r="AF43" s="1288"/>
      <c r="AG43" s="1288"/>
      <c r="AH43" s="1288"/>
      <c r="AI43" s="1288"/>
      <c r="AJ43" s="1289"/>
      <c r="AK43" s="729" t="s">
        <v>404</v>
      </c>
      <c r="AM43" s="69"/>
      <c r="AN43" s="69" t="str">
        <f t="shared" si="1"/>
        <v>Территория действия тарифа</v>
      </c>
      <c r="AO43" s="69"/>
      <c r="AP43" s="69"/>
      <c r="AQ43" s="11">
        <v>21</v>
      </c>
    </row>
    <row r="44" spans="1:43" ht="24" customHeight="1">
      <c r="A44" s="731" t="s">
        <v>212</v>
      </c>
      <c r="B44" s="731" t="s">
        <v>213</v>
      </c>
      <c r="C44" s="731" t="s">
        <v>214</v>
      </c>
      <c r="D44" s="731"/>
      <c r="E44" s="1320"/>
      <c r="F44" s="1320"/>
      <c r="G44" s="1319">
        <v>1</v>
      </c>
      <c r="H44" s="731"/>
      <c r="I44" s="731"/>
      <c r="J44" s="731"/>
      <c r="K44" s="731"/>
      <c r="L44" s="754"/>
      <c r="M44" s="342"/>
      <c r="N44" s="342"/>
      <c r="O44" s="342"/>
      <c r="P44" s="131"/>
      <c r="Q44" s="802"/>
      <c r="R44" s="205"/>
      <c r="S44" s="709" t="str">
        <f>INDEX(PT_DIFFERENTIATION_NUM_CS,MATCH(C44,PT_DIFFERENTIATION_CS_ID,0))</f>
        <v>..</v>
      </c>
      <c r="T44" s="178" t="s">
        <v>405</v>
      </c>
      <c r="U44" s="171"/>
      <c r="V44" s="1288"/>
      <c r="W44" s="1288"/>
      <c r="X44" s="1288"/>
      <c r="Y44" s="1288"/>
      <c r="Z44" s="1288"/>
      <c r="AA44" s="1289"/>
      <c r="AB44" s="1038"/>
      <c r="AC44" s="1288" t="str">
        <f>INDEX(PT_DIFFERENTIATION_CS,MATCH(C44,PT_DIFFERENTIATION_CS_ID,0))</f>
        <v/>
      </c>
      <c r="AD44" s="1288"/>
      <c r="AE44" s="1288"/>
      <c r="AF44" s="1288"/>
      <c r="AG44" s="1288"/>
      <c r="AH44" s="1288"/>
      <c r="AI44" s="1288"/>
      <c r="AJ44" s="1289"/>
      <c r="AK44" s="729" t="s">
        <v>406</v>
      </c>
      <c r="AM44" s="69"/>
      <c r="AN44" s="69" t="str">
        <f t="shared" si="1"/>
        <v xml:space="preserve">Наименование системы теплоснабжения </v>
      </c>
      <c r="AO44" s="69"/>
      <c r="AP44" s="69"/>
      <c r="AQ44" s="11">
        <v>23</v>
      </c>
    </row>
    <row r="45" spans="1:43" ht="21.95" customHeight="1">
      <c r="A45" s="731" t="s">
        <v>212</v>
      </c>
      <c r="B45" s="731" t="s">
        <v>213</v>
      </c>
      <c r="C45" s="731" t="s">
        <v>214</v>
      </c>
      <c r="D45" s="731" t="s">
        <v>215</v>
      </c>
      <c r="E45" s="1320"/>
      <c r="F45" s="1320"/>
      <c r="G45" s="1320"/>
      <c r="H45" s="1319">
        <v>1</v>
      </c>
      <c r="I45" s="731"/>
      <c r="J45" s="731"/>
      <c r="K45" s="731"/>
      <c r="L45" s="754"/>
      <c r="M45" s="342"/>
      <c r="N45" s="342"/>
      <c r="O45" s="342"/>
      <c r="P45" s="131"/>
      <c r="Q45" s="802"/>
      <c r="R45" s="205"/>
      <c r="S45" s="709" t="str">
        <f>INDEX(PT_DIFFERENTIATION_NUM_IST_TE,MATCH(D45,PT_DIFFERENTIATION_IST_TE_ID,0))</f>
        <v>...</v>
      </c>
      <c r="T45" s="179" t="s">
        <v>407</v>
      </c>
      <c r="U45" s="171"/>
      <c r="V45" s="1288"/>
      <c r="W45" s="1288"/>
      <c r="X45" s="1288"/>
      <c r="Y45" s="1288"/>
      <c r="Z45" s="1288"/>
      <c r="AA45" s="1289"/>
      <c r="AB45" s="1038"/>
      <c r="AC45" s="1288" t="str">
        <f>INDEX(PT_DIFFERENTIATION_IST_TE,MATCH(D45,PT_DIFFERENTIATION_IST_TE_ID,0))</f>
        <v/>
      </c>
      <c r="AD45" s="1288"/>
      <c r="AE45" s="1288"/>
      <c r="AF45" s="1288"/>
      <c r="AG45" s="1288"/>
      <c r="AH45" s="1288"/>
      <c r="AI45" s="1288"/>
      <c r="AJ45" s="1289"/>
      <c r="AK45" s="729" t="s">
        <v>408</v>
      </c>
      <c r="AM45" s="69"/>
      <c r="AN45" s="69" t="str">
        <f t="shared" si="1"/>
        <v xml:space="preserve">Источник тепловой энергии  </v>
      </c>
      <c r="AO45" s="69"/>
      <c r="AP45" s="69"/>
      <c r="AQ45" s="11">
        <v>21</v>
      </c>
    </row>
    <row r="46" spans="1:43" s="68" customFormat="1" ht="0" hidden="1" customHeight="1">
      <c r="A46" s="774" t="s">
        <v>212</v>
      </c>
      <c r="B46" s="774" t="s">
        <v>213</v>
      </c>
      <c r="C46" s="774" t="s">
        <v>214</v>
      </c>
      <c r="D46" s="774" t="s">
        <v>215</v>
      </c>
      <c r="E46" s="1320"/>
      <c r="F46" s="1320"/>
      <c r="G46" s="1320"/>
      <c r="H46" s="1320"/>
      <c r="I46" s="1159" t="str">
        <f>S45&amp;".1"</f>
        <v>....1</v>
      </c>
      <c r="J46" s="774"/>
      <c r="K46" s="774"/>
      <c r="L46" s="775" t="s">
        <v>409</v>
      </c>
      <c r="M46" s="722"/>
      <c r="N46" s="722"/>
      <c r="O46" s="722"/>
      <c r="P46" s="1297">
        <v>1</v>
      </c>
      <c r="Q46" s="122"/>
      <c r="R46" s="208"/>
      <c r="S46" s="362"/>
      <c r="T46" s="779"/>
      <c r="U46" s="780"/>
      <c r="V46" s="1325"/>
      <c r="W46" s="1325"/>
      <c r="X46" s="1325"/>
      <c r="Y46" s="1325"/>
      <c r="Z46" s="1325"/>
      <c r="AA46" s="1326"/>
      <c r="AB46" s="1040"/>
      <c r="AC46" s="1325"/>
      <c r="AD46" s="1325"/>
      <c r="AE46" s="1325"/>
      <c r="AF46" s="1325"/>
      <c r="AG46" s="1325"/>
      <c r="AH46" s="1325"/>
      <c r="AI46" s="1325"/>
      <c r="AJ46" s="1326"/>
      <c r="AK46" s="781"/>
      <c r="AM46" s="69"/>
      <c r="AN46" s="69" t="str">
        <f t="shared" si="1"/>
        <v/>
      </c>
      <c r="AO46" s="69"/>
      <c r="AP46" s="69"/>
      <c r="AQ46" s="68">
        <v>0</v>
      </c>
    </row>
    <row r="47" spans="1:43" s="68" customFormat="1" ht="0" hidden="1" customHeight="1">
      <c r="A47" s="774" t="s">
        <v>212</v>
      </c>
      <c r="B47" s="774" t="s">
        <v>213</v>
      </c>
      <c r="C47" s="774" t="s">
        <v>214</v>
      </c>
      <c r="D47" s="774" t="s">
        <v>215</v>
      </c>
      <c r="E47" s="1320"/>
      <c r="F47" s="1320"/>
      <c r="G47" s="1320"/>
      <c r="H47" s="1320"/>
      <c r="I47" s="1123"/>
      <c r="J47" s="1159" t="str">
        <f>S45&amp;".1"</f>
        <v>....1</v>
      </c>
      <c r="K47" s="774"/>
      <c r="L47" s="775"/>
      <c r="M47" s="722"/>
      <c r="N47" s="722"/>
      <c r="O47" s="722"/>
      <c r="P47" s="1297"/>
      <c r="Q47" s="1297">
        <v>1</v>
      </c>
      <c r="R47" s="209"/>
      <c r="S47" s="362"/>
      <c r="T47" s="794"/>
      <c r="U47" s="780"/>
      <c r="V47" s="1325"/>
      <c r="W47" s="1325"/>
      <c r="X47" s="1325"/>
      <c r="Y47" s="1325"/>
      <c r="Z47" s="1325"/>
      <c r="AA47" s="1326"/>
      <c r="AB47" s="1040"/>
      <c r="AC47" s="1325"/>
      <c r="AD47" s="1325"/>
      <c r="AE47" s="1325"/>
      <c r="AF47" s="1325"/>
      <c r="AG47" s="1325"/>
      <c r="AH47" s="1325"/>
      <c r="AI47" s="1325"/>
      <c r="AJ47" s="1326"/>
      <c r="AK47" s="781"/>
      <c r="AM47" s="69"/>
      <c r="AN47" s="69" t="str">
        <f t="shared" si="1"/>
        <v/>
      </c>
      <c r="AO47" s="69"/>
      <c r="AP47" s="69"/>
      <c r="AQ47" s="68">
        <v>0</v>
      </c>
    </row>
    <row r="48" spans="1:43" ht="21.95" customHeight="1">
      <c r="A48" s="731" t="s">
        <v>212</v>
      </c>
      <c r="B48" s="731" t="s">
        <v>213</v>
      </c>
      <c r="C48" s="731" t="s">
        <v>214</v>
      </c>
      <c r="D48" s="731" t="s">
        <v>215</v>
      </c>
      <c r="E48" s="1320"/>
      <c r="F48" s="1320"/>
      <c r="G48" s="1320"/>
      <c r="H48" s="1320"/>
      <c r="I48" s="1123"/>
      <c r="J48" s="1123"/>
      <c r="K48" s="41" t="str">
        <f>S45&amp;".1"</f>
        <v>....1</v>
      </c>
      <c r="L48" s="754"/>
      <c r="P48" s="1297"/>
      <c r="Q48" s="1297"/>
      <c r="R48" s="209">
        <v>1</v>
      </c>
      <c r="S48" s="1042" t="str">
        <f>$K48</f>
        <v>....1</v>
      </c>
      <c r="T48" s="1041"/>
      <c r="U48" s="171"/>
      <c r="V48" s="306"/>
      <c r="W48" s="728"/>
      <c r="X48" s="943"/>
      <c r="Y48" s="297" t="s">
        <v>62</v>
      </c>
      <c r="Z48" s="943"/>
      <c r="AA48" s="297" t="s">
        <v>62</v>
      </c>
      <c r="AB48" s="1044"/>
      <c r="AC48" s="1043" t="s">
        <v>22</v>
      </c>
      <c r="AD48" s="306"/>
      <c r="AE48" s="728"/>
      <c r="AF48" s="943"/>
      <c r="AG48" s="297" t="s">
        <v>62</v>
      </c>
      <c r="AH48" s="943"/>
      <c r="AI48" s="297" t="s">
        <v>62</v>
      </c>
      <c r="AJ48" s="766"/>
      <c r="AK48" s="1316" t="s">
        <v>482</v>
      </c>
      <c r="AL48" s="68" t="e">
        <f ca="1">STRCHECKDATE(#REF!)</f>
        <v>#NAME?</v>
      </c>
      <c r="AM48" s="69"/>
      <c r="AN48" s="69" t="str">
        <f t="shared" si="1"/>
        <v/>
      </c>
      <c r="AO48" s="69"/>
      <c r="AP48" s="69"/>
      <c r="AQ48" s="11">
        <v>21</v>
      </c>
    </row>
    <row r="49" spans="1:43" ht="11.45" customHeight="1">
      <c r="A49" s="731" t="s">
        <v>212</v>
      </c>
      <c r="B49" s="731" t="s">
        <v>213</v>
      </c>
      <c r="C49" s="731" t="s">
        <v>214</v>
      </c>
      <c r="D49" s="731" t="s">
        <v>215</v>
      </c>
      <c r="E49" s="1320"/>
      <c r="F49" s="1320"/>
      <c r="G49" s="1320"/>
      <c r="H49" s="1320"/>
      <c r="I49" s="1123"/>
      <c r="J49" s="1159"/>
      <c r="K49" s="731"/>
      <c r="L49" s="754"/>
      <c r="P49" s="1297"/>
      <c r="Q49" s="1297"/>
      <c r="R49" s="208"/>
      <c r="S49" s="742"/>
      <c r="T49" s="166" t="s">
        <v>470</v>
      </c>
      <c r="U49" s="213"/>
      <c r="V49" s="213"/>
      <c r="W49" s="213"/>
      <c r="X49" s="213"/>
      <c r="Y49" s="213"/>
      <c r="Z49" s="213"/>
      <c r="AA49" s="190"/>
      <c r="AB49" s="213"/>
      <c r="AC49" s="213"/>
      <c r="AD49" s="213"/>
      <c r="AE49" s="213"/>
      <c r="AF49" s="213"/>
      <c r="AG49" s="213"/>
      <c r="AH49" s="213"/>
      <c r="AI49" s="213"/>
      <c r="AJ49" s="190"/>
      <c r="AK49" s="1318"/>
      <c r="AM49" s="69"/>
      <c r="AN49" s="69" t="str">
        <f t="shared" si="1"/>
        <v>Добавить строку</v>
      </c>
      <c r="AO49" s="69"/>
      <c r="AP49" s="69"/>
      <c r="AQ49" s="11">
        <v>11</v>
      </c>
    </row>
    <row r="50" spans="1:43" s="68" customFormat="1" ht="1.1499999999999999" customHeight="1">
      <c r="A50" s="774" t="s">
        <v>212</v>
      </c>
      <c r="B50" s="774" t="s">
        <v>213</v>
      </c>
      <c r="C50" s="774" t="s">
        <v>214</v>
      </c>
      <c r="D50" s="774" t="s">
        <v>215</v>
      </c>
      <c r="E50" s="1320"/>
      <c r="F50" s="1320"/>
      <c r="G50" s="1320"/>
      <c r="H50" s="1320"/>
      <c r="I50" s="1159"/>
      <c r="J50" s="774"/>
      <c r="K50" s="774"/>
      <c r="L50" s="775"/>
      <c r="M50" s="722"/>
      <c r="N50" s="722"/>
      <c r="O50" s="722"/>
      <c r="P50" s="1297"/>
      <c r="Q50" s="122"/>
      <c r="R50" s="208"/>
      <c r="S50" s="782"/>
      <c r="T50" s="783" t="s">
        <v>418</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212</v>
      </c>
      <c r="B51" s="774" t="s">
        <v>213</v>
      </c>
      <c r="C51" s="774" t="s">
        <v>214</v>
      </c>
      <c r="D51" s="774" t="s">
        <v>215</v>
      </c>
      <c r="E51" s="1320"/>
      <c r="F51" s="1320"/>
      <c r="G51" s="1320"/>
      <c r="H51" s="1319"/>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212</v>
      </c>
      <c r="B52" s="774" t="s">
        <v>213</v>
      </c>
      <c r="C52" s="774" t="s">
        <v>214</v>
      </c>
      <c r="D52" s="774"/>
      <c r="E52" s="1320"/>
      <c r="F52" s="1320"/>
      <c r="G52" s="1319"/>
      <c r="H52" s="774"/>
      <c r="I52" s="774"/>
      <c r="J52" s="774"/>
      <c r="K52" s="774"/>
      <c r="L52" s="775"/>
      <c r="M52" s="776"/>
      <c r="N52" s="776"/>
      <c r="O52" s="203"/>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212</v>
      </c>
      <c r="B53" s="774" t="s">
        <v>213</v>
      </c>
      <c r="C53" s="774"/>
      <c r="D53" s="774"/>
      <c r="E53" s="1320"/>
      <c r="F53" s="1319"/>
      <c r="G53" s="774"/>
      <c r="H53" s="774"/>
      <c r="I53" s="774"/>
      <c r="J53" s="774"/>
      <c r="K53" s="774"/>
      <c r="L53" s="775"/>
      <c r="M53" s="777"/>
      <c r="N53" s="777"/>
      <c r="O53" s="203"/>
      <c r="P53" s="104"/>
      <c r="Q53" s="755"/>
      <c r="R53" s="104"/>
      <c r="S53" s="760"/>
      <c r="T53" s="762" t="s">
        <v>421</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212</v>
      </c>
      <c r="B54" s="774"/>
      <c r="C54" s="774"/>
      <c r="D54" s="774"/>
      <c r="E54" s="1320"/>
      <c r="F54" s="774"/>
      <c r="G54" s="774"/>
      <c r="H54" s="774"/>
      <c r="I54" s="774"/>
      <c r="J54" s="774"/>
      <c r="K54" s="774"/>
      <c r="L54" s="775"/>
      <c r="M54" s="777"/>
      <c r="N54" s="777"/>
      <c r="O54" s="203"/>
      <c r="P54" s="104"/>
      <c r="Q54" s="755"/>
      <c r="R54" s="104"/>
      <c r="S54" s="760"/>
      <c r="T54" s="762" t="s">
        <v>422</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212</v>
      </c>
      <c r="B55" s="774"/>
      <c r="C55" s="774"/>
      <c r="D55" s="774"/>
      <c r="E55" s="1319"/>
      <c r="F55" s="774"/>
      <c r="G55" s="774"/>
      <c r="H55" s="774"/>
      <c r="I55" s="774"/>
      <c r="J55" s="774"/>
      <c r="K55" s="774"/>
      <c r="L55" s="775"/>
      <c r="M55" s="777"/>
      <c r="N55" s="777"/>
      <c r="O55" s="203"/>
      <c r="P55" s="104"/>
      <c r="Q55" s="755"/>
      <c r="R55" s="104"/>
      <c r="S55" s="760"/>
      <c r="T55" s="762" t="s">
        <v>422</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450</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92"/>
      <c r="U58" s="1292"/>
      <c r="V58" s="1292"/>
      <c r="W58" s="1292"/>
      <c r="X58" s="1292"/>
      <c r="Y58" s="1292"/>
      <c r="Z58" s="1292"/>
      <c r="AA58" s="1292"/>
      <c r="AB58" s="1292"/>
      <c r="AC58" s="1292"/>
      <c r="AD58" s="1292"/>
      <c r="AE58" s="1292"/>
      <c r="AF58" s="1292"/>
      <c r="AG58" s="1292"/>
      <c r="AH58" s="1292"/>
      <c r="AI58" s="1292"/>
      <c r="AJ58" s="1292"/>
      <c r="AK58" s="1292"/>
      <c r="AQ58" s="11">
        <v>19</v>
      </c>
    </row>
    <row r="59" spans="1:43" ht="21" customHeight="1">
      <c r="O59" s="11"/>
      <c r="T59" s="1292"/>
      <c r="U59" s="1292"/>
      <c r="V59" s="1292"/>
      <c r="W59" s="1292"/>
      <c r="X59" s="1292"/>
      <c r="Y59" s="1292"/>
      <c r="Z59" s="1292"/>
      <c r="AA59" s="1292"/>
      <c r="AB59" s="1292"/>
      <c r="AC59" s="1292"/>
      <c r="AD59" s="1292"/>
      <c r="AE59" s="1292"/>
      <c r="AF59" s="1292"/>
      <c r="AG59" s="1292"/>
      <c r="AH59" s="1292"/>
      <c r="AI59" s="1292"/>
      <c r="AJ59" s="1292"/>
      <c r="AK59" s="1292"/>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92"/>
      <c r="U61" s="1292"/>
      <c r="V61" s="1292"/>
      <c r="W61" s="1292"/>
      <c r="X61" s="1292"/>
      <c r="Y61" s="1292"/>
      <c r="Z61" s="1292"/>
      <c r="AA61" s="1292"/>
      <c r="AB61" s="1292"/>
      <c r="AC61" s="1292"/>
      <c r="AD61" s="1292"/>
      <c r="AE61" s="1292"/>
      <c r="AF61" s="1292"/>
      <c r="AG61" s="1292"/>
      <c r="AH61" s="1292"/>
      <c r="AI61" s="1292"/>
      <c r="AJ61" s="1292"/>
      <c r="AK61" s="1292"/>
      <c r="AQ61" s="11">
        <v>19</v>
      </c>
    </row>
    <row r="62" spans="1:43" ht="16.899999999999999" customHeight="1">
      <c r="O62" s="11"/>
      <c r="T62" s="1292"/>
      <c r="U62" s="1292"/>
      <c r="V62" s="1292"/>
      <c r="W62" s="1292"/>
      <c r="X62" s="1292"/>
      <c r="Y62" s="1292"/>
      <c r="Z62" s="1292"/>
      <c r="AA62" s="1292"/>
      <c r="AB62" s="1292"/>
      <c r="AC62" s="1292"/>
      <c r="AD62" s="1292"/>
      <c r="AE62" s="1292"/>
      <c r="AF62" s="1292"/>
      <c r="AG62" s="1292"/>
      <c r="AH62" s="1292"/>
      <c r="AI62" s="1292"/>
      <c r="AJ62" s="1292"/>
      <c r="AK62" s="1292"/>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4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4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4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4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4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4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4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4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4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400-000009000000}">
      <formula1>UNIT_CONNECT_LIST</formula1>
    </dataValidation>
    <dataValidation allowBlank="1" errorTitle="Ошибка" error="Выберите значение из списка" sqref="V39:W39" xr:uid="{00000000-0002-0000-14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404</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485</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487</v>
      </c>
      <c r="U5" s="171"/>
      <c r="V5" s="1364"/>
      <c r="W5" s="1365"/>
      <c r="X5" s="1365"/>
      <c r="Y5" s="1365"/>
      <c r="Z5" s="1365"/>
      <c r="AA5" s="1365"/>
      <c r="AB5" s="1366"/>
      <c r="AC5" s="1367"/>
      <c r="AD5" s="1368"/>
      <c r="AE5" s="1368"/>
      <c r="AF5" s="1368"/>
      <c r="AG5" s="1368"/>
      <c r="AH5" s="1368"/>
      <c r="AI5" s="1368"/>
      <c r="AJ5" s="1369"/>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412</v>
      </c>
      <c r="P6" s="1297"/>
      <c r="Q6" s="1297">
        <v>1</v>
      </c>
      <c r="R6" s="209"/>
      <c r="S6" s="709" t="e">
        <f>$J6</f>
        <v>#N/A</v>
      </c>
      <c r="T6" s="165" t="s">
        <v>413</v>
      </c>
      <c r="U6" s="171"/>
      <c r="V6" s="1281"/>
      <c r="W6" s="1282"/>
      <c r="X6" s="1282"/>
      <c r="Y6" s="1282"/>
      <c r="Z6" s="1282"/>
      <c r="AA6" s="1282"/>
      <c r="AB6" s="1283"/>
      <c r="AC6" s="1281"/>
      <c r="AD6" s="1282"/>
      <c r="AE6" s="1282"/>
      <c r="AF6" s="1282"/>
      <c r="AG6" s="1282"/>
      <c r="AH6" s="1282"/>
      <c r="AI6" s="1282"/>
      <c r="AJ6" s="1283"/>
      <c r="AK6" s="753" t="s">
        <v>489</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94"/>
      <c r="F11" s="1294"/>
      <c r="G11" s="1294"/>
      <c r="H11" s="1293"/>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421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422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423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424</v>
      </c>
      <c r="P20" s="506"/>
      <c r="Q20" s="815"/>
      <c r="R20" s="815"/>
      <c r="S20" s="426"/>
      <c r="T20" s="63" t="s">
        <v>425</v>
      </c>
      <c r="Z20" s="82" t="s">
        <v>426</v>
      </c>
      <c r="AB20" s="82" t="s">
        <v>427</v>
      </c>
      <c r="AC20" s="63" t="s">
        <v>425</v>
      </c>
      <c r="AG20" s="82" t="s">
        <v>428</v>
      </c>
      <c r="AI20" s="82" t="s">
        <v>427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306</v>
      </c>
      <c r="T36" s="1159"/>
      <c r="U36" s="1159"/>
      <c r="V36" s="1159"/>
      <c r="W36" s="1159"/>
      <c r="X36" s="1159"/>
      <c r="Y36" s="1159"/>
      <c r="Z36" s="1159"/>
      <c r="AA36" s="1159"/>
      <c r="AB36" s="1159"/>
      <c r="AC36" s="1159"/>
      <c r="AD36" s="1159"/>
      <c r="AE36" s="1159"/>
      <c r="AF36" s="1159"/>
      <c r="AG36" s="1159"/>
      <c r="AH36" s="1159"/>
      <c r="AI36" s="1159"/>
      <c r="AJ36" s="1159"/>
      <c r="AK36" s="1159" t="s">
        <v>307</v>
      </c>
      <c r="AQ36" s="11">
        <v>14</v>
      </c>
    </row>
    <row r="37" spans="1:43" ht="14.65" customHeight="1">
      <c r="Q37" s="28"/>
      <c r="R37" s="28"/>
      <c r="S37" s="1306" t="s">
        <v>88</v>
      </c>
      <c r="T37" s="1254" t="s">
        <v>430</v>
      </c>
      <c r="U37" s="172"/>
      <c r="V37" s="1307" t="s">
        <v>431</v>
      </c>
      <c r="W37" s="1308"/>
      <c r="X37" s="1308"/>
      <c r="Y37" s="1308"/>
      <c r="Z37" s="1308"/>
      <c r="AA37" s="1309"/>
      <c r="AB37" s="1310" t="s">
        <v>432</v>
      </c>
      <c r="AC37" s="1307" t="s">
        <v>431</v>
      </c>
      <c r="AD37" s="1308"/>
      <c r="AE37" s="1308"/>
      <c r="AF37" s="1308"/>
      <c r="AG37" s="1308"/>
      <c r="AH37" s="1309"/>
      <c r="AI37" s="1310" t="s">
        <v>433</v>
      </c>
      <c r="AJ37" s="1313" t="s">
        <v>434</v>
      </c>
      <c r="AK37" s="1159"/>
      <c r="AQ37" s="11">
        <v>14</v>
      </c>
    </row>
    <row r="38" spans="1:43" ht="35.65" customHeight="1">
      <c r="Q38" s="28"/>
      <c r="R38" s="28"/>
      <c r="S38" s="1306"/>
      <c r="T38" s="1254"/>
      <c r="U38" s="607"/>
      <c r="V38" s="340" t="s">
        <v>493</v>
      </c>
      <c r="W38" s="1123" t="s">
        <v>437</v>
      </c>
      <c r="X38" s="1"/>
      <c r="Y38" s="1123" t="s">
        <v>438</v>
      </c>
      <c r="Z38" s="1146"/>
      <c r="AA38" s="1"/>
      <c r="AB38" s="1311"/>
      <c r="AC38" s="340" t="s">
        <v>493</v>
      </c>
      <c r="AD38" s="1123" t="s">
        <v>437</v>
      </c>
      <c r="AE38" s="1"/>
      <c r="AF38" s="1123" t="s">
        <v>438</v>
      </c>
      <c r="AG38" s="1146"/>
      <c r="AH38" s="1"/>
      <c r="AI38" s="1311"/>
      <c r="AJ38" s="1314"/>
      <c r="AK38" s="1159"/>
      <c r="AQ38" s="11">
        <v>34</v>
      </c>
    </row>
    <row r="39" spans="1:43" ht="35.65" customHeight="1">
      <c r="A39" s="82"/>
      <c r="B39" s="82" t="s">
        <v>143</v>
      </c>
      <c r="C39" s="82" t="s">
        <v>144</v>
      </c>
      <c r="D39" s="82" t="s">
        <v>145</v>
      </c>
      <c r="E39" s="770" t="s">
        <v>439</v>
      </c>
      <c r="F39" s="770" t="s">
        <v>440</v>
      </c>
      <c r="G39" s="770" t="s">
        <v>441</v>
      </c>
      <c r="H39" s="770"/>
      <c r="I39" s="770" t="s">
        <v>494</v>
      </c>
      <c r="J39" s="770" t="s">
        <v>444</v>
      </c>
      <c r="K39" s="770" t="s">
        <v>495</v>
      </c>
      <c r="L39" s="770" t="s">
        <v>424</v>
      </c>
      <c r="Q39" s="28"/>
      <c r="R39" s="28"/>
      <c r="S39" s="1306"/>
      <c r="T39" s="1254"/>
      <c r="U39" s="173"/>
      <c r="V39" s="340" t="s">
        <v>496</v>
      </c>
      <c r="W39" s="39" t="s">
        <v>497</v>
      </c>
      <c r="X39" s="39" t="s">
        <v>498</v>
      </c>
      <c r="Y39" s="39" t="s">
        <v>448</v>
      </c>
      <c r="Z39" s="1259" t="s">
        <v>449</v>
      </c>
      <c r="AA39" s="1273"/>
      <c r="AB39" s="1312"/>
      <c r="AC39" s="340" t="s">
        <v>496</v>
      </c>
      <c r="AD39" s="39" t="s">
        <v>497</v>
      </c>
      <c r="AE39" s="39" t="s">
        <v>498</v>
      </c>
      <c r="AF39" s="39" t="s">
        <v>448</v>
      </c>
      <c r="AG39" s="1259" t="s">
        <v>449</v>
      </c>
      <c r="AH39" s="1273"/>
      <c r="AI39" s="1312"/>
      <c r="AJ39" s="1315"/>
      <c r="AK39" s="1159"/>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232</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131</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232</v>
      </c>
      <c r="B42" s="769" t="s">
        <v>233</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403</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404</v>
      </c>
      <c r="AM42" s="69"/>
      <c r="AN42" s="69" t="str">
        <f t="shared" si="1"/>
        <v>Территория действия тарифа</v>
      </c>
      <c r="AO42" s="69"/>
      <c r="AP42" s="69"/>
      <c r="AQ42" s="11">
        <v>23</v>
      </c>
    </row>
    <row r="43" spans="1:43" ht="24" customHeight="1">
      <c r="A43" s="769" t="s">
        <v>232</v>
      </c>
      <c r="B43" s="769" t="s">
        <v>233</v>
      </c>
      <c r="C43" s="769" t="s">
        <v>234</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485</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232</v>
      </c>
      <c r="B44" s="769" t="s">
        <v>233</v>
      </c>
      <c r="C44" s="769" t="s">
        <v>234</v>
      </c>
      <c r="D44" s="769" t="s">
        <v>499</v>
      </c>
      <c r="E44" s="1294"/>
      <c r="F44" s="1294"/>
      <c r="G44" s="1294"/>
      <c r="H44" s="1294"/>
      <c r="I44" s="1295" t="str">
        <f>S43&amp;".1"</f>
        <v>...1</v>
      </c>
      <c r="J44" s="769"/>
      <c r="K44" s="769"/>
      <c r="L44" s="770"/>
      <c r="P44" s="1297">
        <v>1</v>
      </c>
      <c r="Q44" s="122"/>
      <c r="R44" s="208"/>
      <c r="S44" s="709" t="str">
        <f>$I44</f>
        <v>...1</v>
      </c>
      <c r="T44" s="164" t="s">
        <v>487</v>
      </c>
      <c r="U44" s="171"/>
      <c r="V44" s="1364"/>
      <c r="W44" s="1365"/>
      <c r="X44" s="1365"/>
      <c r="Y44" s="1365"/>
      <c r="Z44" s="1365"/>
      <c r="AA44" s="1365"/>
      <c r="AB44" s="1366"/>
      <c r="AC44" s="1367"/>
      <c r="AD44" s="1368"/>
      <c r="AE44" s="1368"/>
      <c r="AF44" s="1368"/>
      <c r="AG44" s="1368"/>
      <c r="AH44" s="1368"/>
      <c r="AI44" s="1368"/>
      <c r="AJ44" s="1369"/>
      <c r="AK44" s="729" t="s">
        <v>488</v>
      </c>
      <c r="AM44" s="69"/>
      <c r="AN44" s="69" t="str">
        <f t="shared" si="1"/>
        <v>Наименование признака дифференциации</v>
      </c>
      <c r="AO44" s="69"/>
      <c r="AP44" s="69"/>
      <c r="AQ44" s="11">
        <v>23</v>
      </c>
    </row>
    <row r="45" spans="1:43" ht="24" customHeight="1">
      <c r="A45" s="769" t="s">
        <v>232</v>
      </c>
      <c r="B45" s="769" t="s">
        <v>233</v>
      </c>
      <c r="C45" s="769" t="s">
        <v>234</v>
      </c>
      <c r="D45" s="769" t="s">
        <v>499</v>
      </c>
      <c r="E45" s="1294"/>
      <c r="F45" s="1294"/>
      <c r="G45" s="1294"/>
      <c r="H45" s="1294"/>
      <c r="I45" s="1296"/>
      <c r="J45" s="1295" t="str">
        <f>I44&amp;".1"</f>
        <v>...1.1</v>
      </c>
      <c r="K45" s="769"/>
      <c r="L45" s="770" t="s">
        <v>412</v>
      </c>
      <c r="P45" s="1297"/>
      <c r="Q45" s="1297">
        <v>1</v>
      </c>
      <c r="R45" s="209"/>
      <c r="S45" s="709" t="str">
        <f>$J45</f>
        <v>...1.1</v>
      </c>
      <c r="T45" s="165" t="s">
        <v>413</v>
      </c>
      <c r="U45" s="171"/>
      <c r="V45" s="1281"/>
      <c r="W45" s="1282"/>
      <c r="X45" s="1282"/>
      <c r="Y45" s="1282"/>
      <c r="Z45" s="1282"/>
      <c r="AA45" s="1282"/>
      <c r="AB45" s="1283"/>
      <c r="AC45" s="1281"/>
      <c r="AD45" s="1282"/>
      <c r="AE45" s="1282"/>
      <c r="AF45" s="1282"/>
      <c r="AG45" s="1282"/>
      <c r="AH45" s="1282"/>
      <c r="AI45" s="1282"/>
      <c r="AJ45" s="1283"/>
      <c r="AK45" s="753" t="s">
        <v>489</v>
      </c>
      <c r="AM45" s="69"/>
      <c r="AN45" s="69" t="str">
        <f t="shared" si="1"/>
        <v>Группа потребителей</v>
      </c>
      <c r="AO45" s="69"/>
      <c r="AP45" s="69"/>
      <c r="AQ45" s="11">
        <v>23</v>
      </c>
    </row>
    <row r="46" spans="1:43" ht="24" customHeight="1">
      <c r="A46" s="769" t="s">
        <v>232</v>
      </c>
      <c r="B46" s="769" t="s">
        <v>233</v>
      </c>
      <c r="C46" s="769" t="s">
        <v>234</v>
      </c>
      <c r="D46" s="769" t="s">
        <v>499</v>
      </c>
      <c r="E46" s="1294"/>
      <c r="F46" s="1294"/>
      <c r="G46" s="1294"/>
      <c r="H46" s="1294"/>
      <c r="I46" s="1296"/>
      <c r="J46" s="1296"/>
      <c r="K46" s="1295" t="str">
        <f>J45&amp;".1"</f>
        <v>...1.1.1</v>
      </c>
      <c r="L46" s="770"/>
      <c r="P46" s="1297"/>
      <c r="Q46" s="1297"/>
      <c r="R46" s="209">
        <v>1</v>
      </c>
      <c r="S46" s="709" t="str">
        <f>$K46</f>
        <v>...1.1.1</v>
      </c>
      <c r="T46" s="812"/>
      <c r="U46" s="171"/>
      <c r="V46" s="368"/>
      <c r="W46" s="368"/>
      <c r="X46" s="768"/>
      <c r="Y46" s="1291"/>
      <c r="Z46" s="1290" t="s">
        <v>62</v>
      </c>
      <c r="AA46" s="1291"/>
      <c r="AB46" s="1290" t="s">
        <v>62</v>
      </c>
      <c r="AC46" s="306"/>
      <c r="AD46" s="306"/>
      <c r="AE46" s="728"/>
      <c r="AF46" s="1298"/>
      <c r="AG46" s="1169" t="s">
        <v>62</v>
      </c>
      <c r="AH46" s="1300"/>
      <c r="AI46" s="1169" t="s">
        <v>19</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232</v>
      </c>
      <c r="B47" s="769" t="s">
        <v>233</v>
      </c>
      <c r="C47" s="769" t="s">
        <v>234</v>
      </c>
      <c r="D47" s="769" t="s">
        <v>499</v>
      </c>
      <c r="E47" s="1294"/>
      <c r="F47" s="1294"/>
      <c r="G47" s="1294"/>
      <c r="H47" s="1294"/>
      <c r="I47" s="1296"/>
      <c r="J47" s="1296"/>
      <c r="K47" s="1295"/>
      <c r="L47" s="770"/>
      <c r="P47" s="1297"/>
      <c r="Q47" s="1297"/>
      <c r="R47" s="209"/>
      <c r="S47" s="65"/>
      <c r="T47" s="171"/>
      <c r="U47" s="171"/>
      <c r="V47" s="368"/>
      <c r="W47" s="368"/>
      <c r="X47" s="192" t="str">
        <f>Y46&amp;"-"&amp;AA46</f>
        <v>-</v>
      </c>
      <c r="Y47" s="1290"/>
      <c r="Z47" s="1290"/>
      <c r="AA47" s="1290"/>
      <c r="AB47" s="1290"/>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232</v>
      </c>
      <c r="B48" s="769" t="s">
        <v>233</v>
      </c>
      <c r="C48" s="769" t="s">
        <v>234</v>
      </c>
      <c r="D48" s="769" t="s">
        <v>499</v>
      </c>
      <c r="E48" s="1294"/>
      <c r="F48" s="1294"/>
      <c r="G48" s="1294"/>
      <c r="H48" s="1294"/>
      <c r="I48" s="1296"/>
      <c r="J48" s="1295"/>
      <c r="K48" s="769"/>
      <c r="L48" s="770"/>
      <c r="P48" s="1297"/>
      <c r="Q48" s="1297"/>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232</v>
      </c>
      <c r="B49" s="769" t="s">
        <v>233</v>
      </c>
      <c r="C49" s="769" t="s">
        <v>234</v>
      </c>
      <c r="D49" s="769" t="s">
        <v>499</v>
      </c>
      <c r="E49" s="1294"/>
      <c r="F49" s="1294"/>
      <c r="G49" s="1294"/>
      <c r="H49" s="1294"/>
      <c r="I49" s="1295"/>
      <c r="J49" s="769"/>
      <c r="K49" s="769"/>
      <c r="L49" s="770"/>
      <c r="P49" s="1297"/>
      <c r="Q49" s="122"/>
      <c r="R49" s="208"/>
      <c r="S49" s="742"/>
      <c r="T49" s="211" t="s">
        <v>418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232</v>
      </c>
      <c r="B50" s="769" t="s">
        <v>233</v>
      </c>
      <c r="C50" s="769" t="s">
        <v>234</v>
      </c>
      <c r="D50" s="769" t="s">
        <v>499</v>
      </c>
      <c r="E50" s="1294"/>
      <c r="F50" s="1294"/>
      <c r="G50" s="1294"/>
      <c r="H50" s="1293"/>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232</v>
      </c>
      <c r="B51" s="145" t="s">
        <v>233</v>
      </c>
      <c r="C51" s="145"/>
      <c r="D51" s="145"/>
      <c r="E51" s="1294"/>
      <c r="F51" s="1293"/>
      <c r="G51" s="145"/>
      <c r="H51" s="145"/>
      <c r="I51" s="145"/>
      <c r="J51" s="145"/>
      <c r="K51" s="145"/>
      <c r="L51" s="346"/>
      <c r="M51" s="759"/>
      <c r="N51" s="759"/>
      <c r="P51" s="104"/>
      <c r="Q51" s="755"/>
      <c r="R51" s="104"/>
      <c r="S51" s="760"/>
      <c r="T51" s="762" t="s">
        <v>421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232</v>
      </c>
      <c r="B52" s="145"/>
      <c r="C52" s="145"/>
      <c r="D52" s="145"/>
      <c r="E52" s="1293"/>
      <c r="F52" s="145"/>
      <c r="G52" s="145"/>
      <c r="H52" s="145"/>
      <c r="I52" s="145"/>
      <c r="J52" s="145"/>
      <c r="K52" s="145"/>
      <c r="L52" s="346"/>
      <c r="M52" s="759"/>
      <c r="N52" s="759"/>
      <c r="P52" s="104"/>
      <c r="Q52" s="755"/>
      <c r="R52" s="104"/>
      <c r="S52" s="760"/>
      <c r="T52" s="762" t="s">
        <v>422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404</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485</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487</v>
      </c>
      <c r="U5" s="171"/>
      <c r="V5" s="1364"/>
      <c r="W5" s="1365"/>
      <c r="X5" s="1365"/>
      <c r="Y5" s="1365"/>
      <c r="Z5" s="1365"/>
      <c r="AA5" s="1365"/>
      <c r="AB5" s="1366"/>
      <c r="AC5" s="1367"/>
      <c r="AD5" s="1368"/>
      <c r="AE5" s="1368"/>
      <c r="AF5" s="1368"/>
      <c r="AG5" s="1368"/>
      <c r="AH5" s="1368"/>
      <c r="AI5" s="1368"/>
      <c r="AJ5" s="1369"/>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412</v>
      </c>
      <c r="P6" s="1297"/>
      <c r="Q6" s="1297">
        <v>1</v>
      </c>
      <c r="R6" s="209"/>
      <c r="S6" s="709" t="e">
        <f>$J6</f>
        <v>#N/A</v>
      </c>
      <c r="T6" s="165" t="s">
        <v>413</v>
      </c>
      <c r="U6" s="171"/>
      <c r="V6" s="1281"/>
      <c r="W6" s="1282"/>
      <c r="X6" s="1282"/>
      <c r="Y6" s="1282"/>
      <c r="Z6" s="1282"/>
      <c r="AA6" s="1282"/>
      <c r="AB6" s="1283"/>
      <c r="AC6" s="1281"/>
      <c r="AD6" s="1282"/>
      <c r="AE6" s="1282"/>
      <c r="AF6" s="1282"/>
      <c r="AG6" s="1282"/>
      <c r="AH6" s="1282"/>
      <c r="AI6" s="1282"/>
      <c r="AJ6" s="1283"/>
      <c r="AK6" s="753" t="s">
        <v>489</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421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422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423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424</v>
      </c>
      <c r="P20" s="506"/>
      <c r="Q20" s="815"/>
      <c r="R20" s="815"/>
      <c r="S20" s="426"/>
      <c r="T20" s="63" t="s">
        <v>425</v>
      </c>
      <c r="Z20" s="82" t="s">
        <v>426</v>
      </c>
      <c r="AB20" s="82" t="s">
        <v>427</v>
      </c>
      <c r="AC20" s="63" t="s">
        <v>425</v>
      </c>
      <c r="AG20" s="82" t="s">
        <v>428</v>
      </c>
      <c r="AI20" s="82" t="s">
        <v>427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306</v>
      </c>
      <c r="T36" s="1159"/>
      <c r="U36" s="1159"/>
      <c r="V36" s="1159"/>
      <c r="W36" s="1159"/>
      <c r="X36" s="1159"/>
      <c r="Y36" s="1159"/>
      <c r="Z36" s="1159"/>
      <c r="AA36" s="1159"/>
      <c r="AB36" s="1159"/>
      <c r="AC36" s="1159"/>
      <c r="AD36" s="1159"/>
      <c r="AE36" s="1159"/>
      <c r="AF36" s="1159"/>
      <c r="AG36" s="1159"/>
      <c r="AH36" s="1159"/>
      <c r="AI36" s="1159"/>
      <c r="AJ36" s="1159"/>
      <c r="AK36" s="1159" t="s">
        <v>307</v>
      </c>
      <c r="AQ36" s="11">
        <v>14</v>
      </c>
    </row>
    <row r="37" spans="1:43" ht="14.65" customHeight="1">
      <c r="Q37" s="28"/>
      <c r="R37" s="28"/>
      <c r="S37" s="1306" t="s">
        <v>88</v>
      </c>
      <c r="T37" s="1254" t="s">
        <v>430</v>
      </c>
      <c r="U37" s="172"/>
      <c r="V37" s="1307" t="s">
        <v>431</v>
      </c>
      <c r="W37" s="1308"/>
      <c r="X37" s="1308"/>
      <c r="Y37" s="1308"/>
      <c r="Z37" s="1308"/>
      <c r="AA37" s="1309"/>
      <c r="AB37" s="1310" t="s">
        <v>432</v>
      </c>
      <c r="AC37" s="1307" t="s">
        <v>431</v>
      </c>
      <c r="AD37" s="1308"/>
      <c r="AE37" s="1308"/>
      <c r="AF37" s="1308"/>
      <c r="AG37" s="1308"/>
      <c r="AH37" s="1309"/>
      <c r="AI37" s="1310" t="s">
        <v>433</v>
      </c>
      <c r="AJ37" s="1313" t="s">
        <v>434</v>
      </c>
      <c r="AK37" s="1159"/>
      <c r="AQ37" s="11">
        <v>14</v>
      </c>
    </row>
    <row r="38" spans="1:43" ht="35.65" customHeight="1">
      <c r="Q38" s="28"/>
      <c r="R38" s="28"/>
      <c r="S38" s="1306"/>
      <c r="T38" s="1254"/>
      <c r="U38" s="607"/>
      <c r="V38" s="340" t="s">
        <v>493</v>
      </c>
      <c r="W38" s="1123" t="s">
        <v>437</v>
      </c>
      <c r="X38" s="1"/>
      <c r="Y38" s="1123" t="s">
        <v>438</v>
      </c>
      <c r="Z38" s="1146"/>
      <c r="AA38" s="1"/>
      <c r="AB38" s="1311"/>
      <c r="AC38" s="340" t="s">
        <v>493</v>
      </c>
      <c r="AD38" s="1123" t="s">
        <v>437</v>
      </c>
      <c r="AE38" s="1"/>
      <c r="AF38" s="1123" t="s">
        <v>438</v>
      </c>
      <c r="AG38" s="1146"/>
      <c r="AH38" s="1"/>
      <c r="AI38" s="1311"/>
      <c r="AJ38" s="1314"/>
      <c r="AK38" s="1159"/>
      <c r="AQ38" s="11">
        <v>34</v>
      </c>
    </row>
    <row r="39" spans="1:43" ht="35.65" customHeight="1">
      <c r="A39" s="82"/>
      <c r="B39" s="82" t="s">
        <v>143</v>
      </c>
      <c r="C39" s="82" t="s">
        <v>144</v>
      </c>
      <c r="D39" s="82" t="s">
        <v>145</v>
      </c>
      <c r="E39" s="770" t="s">
        <v>439</v>
      </c>
      <c r="F39" s="770" t="s">
        <v>440</v>
      </c>
      <c r="G39" s="770" t="s">
        <v>441</v>
      </c>
      <c r="H39" s="770"/>
      <c r="I39" s="770" t="s">
        <v>494</v>
      </c>
      <c r="J39" s="770" t="s">
        <v>444</v>
      </c>
      <c r="K39" s="770" t="s">
        <v>495</v>
      </c>
      <c r="L39" s="770" t="s">
        <v>424</v>
      </c>
      <c r="Q39" s="28"/>
      <c r="R39" s="28"/>
      <c r="S39" s="1306"/>
      <c r="T39" s="1254"/>
      <c r="U39" s="173"/>
      <c r="V39" s="340" t="s">
        <v>496</v>
      </c>
      <c r="W39" s="39" t="s">
        <v>497</v>
      </c>
      <c r="X39" s="39" t="s">
        <v>498</v>
      </c>
      <c r="Y39" s="39" t="s">
        <v>448</v>
      </c>
      <c r="Z39" s="1259" t="s">
        <v>449</v>
      </c>
      <c r="AA39" s="1273"/>
      <c r="AB39" s="1312"/>
      <c r="AC39" s="340" t="s">
        <v>496</v>
      </c>
      <c r="AD39" s="39" t="s">
        <v>497</v>
      </c>
      <c r="AE39" s="39" t="s">
        <v>498</v>
      </c>
      <c r="AF39" s="39" t="s">
        <v>448</v>
      </c>
      <c r="AG39" s="1259" t="s">
        <v>449</v>
      </c>
      <c r="AH39" s="1273"/>
      <c r="AI39" s="1312"/>
      <c r="AJ39" s="1315"/>
      <c r="AK39" s="115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237</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131</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237</v>
      </c>
      <c r="B42" s="769" t="s">
        <v>238</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403</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404</v>
      </c>
      <c r="AM42" s="69"/>
      <c r="AN42" s="69" t="str">
        <f t="shared" si="1"/>
        <v>Территория действия тарифа</v>
      </c>
      <c r="AO42" s="69"/>
      <c r="AP42" s="69"/>
      <c r="AQ42" s="11">
        <v>23</v>
      </c>
    </row>
    <row r="43" spans="1:43" ht="24" customHeight="1">
      <c r="A43" s="769" t="s">
        <v>237</v>
      </c>
      <c r="B43" s="769" t="s">
        <v>238</v>
      </c>
      <c r="C43" s="769" t="s">
        <v>239</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485</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237</v>
      </c>
      <c r="B44" s="769" t="s">
        <v>238</v>
      </c>
      <c r="C44" s="769" t="s">
        <v>239</v>
      </c>
      <c r="D44" s="769" t="s">
        <v>500</v>
      </c>
      <c r="E44" s="1294"/>
      <c r="F44" s="1294"/>
      <c r="G44" s="1294"/>
      <c r="H44" s="1294"/>
      <c r="I44" s="1295" t="str">
        <f>S43&amp;".1"</f>
        <v>...1</v>
      </c>
      <c r="J44" s="769"/>
      <c r="K44" s="769"/>
      <c r="L44" s="770"/>
      <c r="P44" s="1297">
        <v>1</v>
      </c>
      <c r="Q44" s="122"/>
      <c r="R44" s="208"/>
      <c r="S44" s="709" t="str">
        <f>$I44</f>
        <v>...1</v>
      </c>
      <c r="T44" s="164" t="s">
        <v>487</v>
      </c>
      <c r="U44" s="171"/>
      <c r="V44" s="1364"/>
      <c r="W44" s="1365"/>
      <c r="X44" s="1365"/>
      <c r="Y44" s="1365"/>
      <c r="Z44" s="1365"/>
      <c r="AA44" s="1365"/>
      <c r="AB44" s="1366"/>
      <c r="AC44" s="1367"/>
      <c r="AD44" s="1368"/>
      <c r="AE44" s="1368"/>
      <c r="AF44" s="1368"/>
      <c r="AG44" s="1368"/>
      <c r="AH44" s="1368"/>
      <c r="AI44" s="1368"/>
      <c r="AJ44" s="1369"/>
      <c r="AK44" s="729" t="s">
        <v>488</v>
      </c>
      <c r="AM44" s="69"/>
      <c r="AN44" s="69" t="str">
        <f t="shared" si="1"/>
        <v>Наименование признака дифференциации</v>
      </c>
      <c r="AO44" s="69"/>
      <c r="AP44" s="69"/>
      <c r="AQ44" s="11">
        <v>23</v>
      </c>
    </row>
    <row r="45" spans="1:43" ht="24" customHeight="1">
      <c r="A45" s="769" t="s">
        <v>237</v>
      </c>
      <c r="B45" s="769" t="s">
        <v>238</v>
      </c>
      <c r="C45" s="769" t="s">
        <v>239</v>
      </c>
      <c r="D45" s="769" t="s">
        <v>500</v>
      </c>
      <c r="E45" s="1294"/>
      <c r="F45" s="1294"/>
      <c r="G45" s="1294"/>
      <c r="H45" s="1294"/>
      <c r="I45" s="1296"/>
      <c r="J45" s="1295" t="str">
        <f>I44&amp;".1"</f>
        <v>...1.1</v>
      </c>
      <c r="K45" s="769"/>
      <c r="L45" s="770" t="s">
        <v>412</v>
      </c>
      <c r="P45" s="1297"/>
      <c r="Q45" s="1297">
        <v>1</v>
      </c>
      <c r="R45" s="209"/>
      <c r="S45" s="709" t="str">
        <f>$J45</f>
        <v>...1.1</v>
      </c>
      <c r="T45" s="165" t="s">
        <v>413</v>
      </c>
      <c r="U45" s="171"/>
      <c r="V45" s="1281"/>
      <c r="W45" s="1282"/>
      <c r="X45" s="1282"/>
      <c r="Y45" s="1282"/>
      <c r="Z45" s="1282"/>
      <c r="AA45" s="1282"/>
      <c r="AB45" s="1283"/>
      <c r="AC45" s="1281"/>
      <c r="AD45" s="1282"/>
      <c r="AE45" s="1282"/>
      <c r="AF45" s="1282"/>
      <c r="AG45" s="1282"/>
      <c r="AH45" s="1282"/>
      <c r="AI45" s="1282"/>
      <c r="AJ45" s="1283"/>
      <c r="AK45" s="753" t="s">
        <v>489</v>
      </c>
      <c r="AM45" s="69"/>
      <c r="AN45" s="69" t="str">
        <f t="shared" si="1"/>
        <v>Группа потребителей</v>
      </c>
      <c r="AO45" s="69"/>
      <c r="AP45" s="69"/>
      <c r="AQ45" s="11">
        <v>23</v>
      </c>
    </row>
    <row r="46" spans="1:43" ht="24" customHeight="1">
      <c r="A46" s="769" t="s">
        <v>237</v>
      </c>
      <c r="B46" s="769" t="s">
        <v>238</v>
      </c>
      <c r="C46" s="769" t="s">
        <v>239</v>
      </c>
      <c r="D46" s="769" t="s">
        <v>500</v>
      </c>
      <c r="E46" s="1294"/>
      <c r="F46" s="1294"/>
      <c r="G46" s="1294"/>
      <c r="H46" s="1294"/>
      <c r="I46" s="1296"/>
      <c r="J46" s="1296"/>
      <c r="K46" s="1295" t="str">
        <f>J45&amp;".1"</f>
        <v>...1.1.1</v>
      </c>
      <c r="L46" s="770"/>
      <c r="P46" s="1297"/>
      <c r="Q46" s="1297"/>
      <c r="R46" s="209">
        <v>1</v>
      </c>
      <c r="S46" s="709" t="str">
        <f>$K46</f>
        <v>...1.1.1</v>
      </c>
      <c r="T46" s="812"/>
      <c r="U46" s="171"/>
      <c r="V46" s="306"/>
      <c r="W46" s="306"/>
      <c r="X46" s="728"/>
      <c r="Y46" s="1298"/>
      <c r="Z46" s="1169" t="s">
        <v>62</v>
      </c>
      <c r="AA46" s="1298"/>
      <c r="AB46" s="1169" t="s">
        <v>62</v>
      </c>
      <c r="AC46" s="306"/>
      <c r="AD46" s="306"/>
      <c r="AE46" s="728"/>
      <c r="AF46" s="1298"/>
      <c r="AG46" s="1169" t="s">
        <v>62</v>
      </c>
      <c r="AH46" s="1300"/>
      <c r="AI46" s="1169" t="s">
        <v>62</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237</v>
      </c>
      <c r="B47" s="769" t="s">
        <v>238</v>
      </c>
      <c r="C47" s="769" t="s">
        <v>239</v>
      </c>
      <c r="D47" s="769" t="s">
        <v>500</v>
      </c>
      <c r="E47" s="1294"/>
      <c r="F47" s="1294"/>
      <c r="G47" s="1294"/>
      <c r="H47" s="1294"/>
      <c r="I47" s="1296"/>
      <c r="J47" s="1296"/>
      <c r="K47" s="1295"/>
      <c r="L47" s="770"/>
      <c r="P47" s="1297"/>
      <c r="Q47" s="1297"/>
      <c r="R47" s="209"/>
      <c r="S47" s="65"/>
      <c r="T47" s="171"/>
      <c r="U47" s="171"/>
      <c r="V47" s="191"/>
      <c r="W47" s="191"/>
      <c r="X47" s="192" t="str">
        <f>Y46&amp;"-"&amp;AA46</f>
        <v>-</v>
      </c>
      <c r="Y47" s="1299"/>
      <c r="Z47" s="1169"/>
      <c r="AA47" s="1299"/>
      <c r="AB47" s="1169"/>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237</v>
      </c>
      <c r="B48" s="769" t="s">
        <v>238</v>
      </c>
      <c r="C48" s="769" t="s">
        <v>239</v>
      </c>
      <c r="D48" s="769" t="s">
        <v>500</v>
      </c>
      <c r="E48" s="1294"/>
      <c r="F48" s="1294"/>
      <c r="G48" s="1294"/>
      <c r="H48" s="1294"/>
      <c r="I48" s="1296"/>
      <c r="J48" s="1295"/>
      <c r="K48" s="769"/>
      <c r="L48" s="770"/>
      <c r="P48" s="1297"/>
      <c r="Q48" s="1297"/>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237</v>
      </c>
      <c r="B49" s="769" t="s">
        <v>238</v>
      </c>
      <c r="C49" s="769" t="s">
        <v>239</v>
      </c>
      <c r="D49" s="769" t="s">
        <v>500</v>
      </c>
      <c r="E49" s="1294"/>
      <c r="F49" s="1294"/>
      <c r="G49" s="1294"/>
      <c r="H49" s="1294"/>
      <c r="I49" s="1295"/>
      <c r="J49" s="769"/>
      <c r="K49" s="769"/>
      <c r="L49" s="770"/>
      <c r="P49" s="1297"/>
      <c r="Q49" s="122"/>
      <c r="R49" s="208"/>
      <c r="S49" s="742"/>
      <c r="T49" s="211" t="s">
        <v>418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237</v>
      </c>
      <c r="B50" s="769" t="s">
        <v>238</v>
      </c>
      <c r="C50" s="769" t="s">
        <v>239</v>
      </c>
      <c r="D50" s="769" t="s">
        <v>500</v>
      </c>
      <c r="E50" s="1294"/>
      <c r="F50" s="1294"/>
      <c r="G50" s="1294"/>
      <c r="H50" s="1293"/>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237</v>
      </c>
      <c r="B51" s="145" t="s">
        <v>238</v>
      </c>
      <c r="C51" s="145"/>
      <c r="D51" s="145"/>
      <c r="E51" s="1294"/>
      <c r="F51" s="1293"/>
      <c r="G51" s="145"/>
      <c r="H51" s="145"/>
      <c r="I51" s="145"/>
      <c r="J51" s="145"/>
      <c r="K51" s="145"/>
      <c r="L51" s="346"/>
      <c r="M51" s="759"/>
      <c r="N51" s="759"/>
      <c r="P51" s="104"/>
      <c r="Q51" s="755"/>
      <c r="R51" s="104"/>
      <c r="S51" s="760"/>
      <c r="T51" s="762" t="s">
        <v>421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237</v>
      </c>
      <c r="B52" s="145"/>
      <c r="C52" s="145"/>
      <c r="D52" s="145"/>
      <c r="E52" s="1293"/>
      <c r="F52" s="145"/>
      <c r="G52" s="145"/>
      <c r="H52" s="145"/>
      <c r="I52" s="145"/>
      <c r="J52" s="145"/>
      <c r="K52" s="145"/>
      <c r="L52" s="346"/>
      <c r="M52" s="759"/>
      <c r="N52" s="759"/>
      <c r="P52" s="104"/>
      <c r="Q52" s="755"/>
      <c r="R52" s="104"/>
      <c r="S52" s="760"/>
      <c r="T52" s="762" t="s">
        <v>422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404</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485</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487</v>
      </c>
      <c r="U5" s="171"/>
      <c r="V5" s="1364"/>
      <c r="W5" s="1365"/>
      <c r="X5" s="1365"/>
      <c r="Y5" s="1365"/>
      <c r="Z5" s="1365"/>
      <c r="AA5" s="1365"/>
      <c r="AB5" s="1366"/>
      <c r="AC5" s="1367"/>
      <c r="AD5" s="1368"/>
      <c r="AE5" s="1368"/>
      <c r="AF5" s="1368"/>
      <c r="AG5" s="1368"/>
      <c r="AH5" s="1368"/>
      <c r="AI5" s="1368"/>
      <c r="AJ5" s="1369"/>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412</v>
      </c>
      <c r="P6" s="1297"/>
      <c r="Q6" s="1297">
        <v>1</v>
      </c>
      <c r="R6" s="209"/>
      <c r="S6" s="709" t="e">
        <f>$J6</f>
        <v>#N/A</v>
      </c>
      <c r="T6" s="165" t="s">
        <v>413</v>
      </c>
      <c r="U6" s="171"/>
      <c r="V6" s="1281"/>
      <c r="W6" s="1282"/>
      <c r="X6" s="1282"/>
      <c r="Y6" s="1282"/>
      <c r="Z6" s="1282"/>
      <c r="AA6" s="1282"/>
      <c r="AB6" s="1283"/>
      <c r="AC6" s="1281"/>
      <c r="AD6" s="1282"/>
      <c r="AE6" s="1282"/>
      <c r="AF6" s="1282"/>
      <c r="AG6" s="1282"/>
      <c r="AH6" s="1282"/>
      <c r="AI6" s="1282"/>
      <c r="AJ6" s="1283"/>
      <c r="AK6" s="753" t="s">
        <v>489</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421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422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423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424</v>
      </c>
      <c r="P20" s="506"/>
      <c r="Q20" s="815"/>
      <c r="R20" s="815"/>
      <c r="S20" s="426"/>
      <c r="T20" s="63" t="s">
        <v>425</v>
      </c>
      <c r="Z20" s="82" t="s">
        <v>426</v>
      </c>
      <c r="AB20" s="82" t="s">
        <v>427</v>
      </c>
      <c r="AC20" s="63" t="s">
        <v>425</v>
      </c>
      <c r="AG20" s="82" t="s">
        <v>428</v>
      </c>
      <c r="AI20" s="82" t="s">
        <v>427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306</v>
      </c>
      <c r="T36" s="1159"/>
      <c r="U36" s="1159"/>
      <c r="V36" s="1159"/>
      <c r="W36" s="1159"/>
      <c r="X36" s="1159"/>
      <c r="Y36" s="1159"/>
      <c r="Z36" s="1159"/>
      <c r="AA36" s="1159"/>
      <c r="AB36" s="1159"/>
      <c r="AC36" s="1159"/>
      <c r="AD36" s="1159"/>
      <c r="AE36" s="1159"/>
      <c r="AF36" s="1159"/>
      <c r="AG36" s="1159"/>
      <c r="AH36" s="1159"/>
      <c r="AI36" s="1159"/>
      <c r="AJ36" s="1159"/>
      <c r="AK36" s="1159" t="s">
        <v>307</v>
      </c>
      <c r="AQ36" s="11">
        <v>14</v>
      </c>
    </row>
    <row r="37" spans="1:43" ht="14.65" customHeight="1">
      <c r="Q37" s="28"/>
      <c r="R37" s="28"/>
      <c r="S37" s="1306" t="s">
        <v>88</v>
      </c>
      <c r="T37" s="1254" t="s">
        <v>430</v>
      </c>
      <c r="U37" s="172"/>
      <c r="V37" s="1307" t="s">
        <v>431</v>
      </c>
      <c r="W37" s="1308"/>
      <c r="X37" s="1308"/>
      <c r="Y37" s="1308"/>
      <c r="Z37" s="1308"/>
      <c r="AA37" s="1309"/>
      <c r="AB37" s="1310" t="s">
        <v>432</v>
      </c>
      <c r="AC37" s="1307" t="s">
        <v>431</v>
      </c>
      <c r="AD37" s="1308"/>
      <c r="AE37" s="1308"/>
      <c r="AF37" s="1308"/>
      <c r="AG37" s="1308"/>
      <c r="AH37" s="1309"/>
      <c r="AI37" s="1310" t="s">
        <v>433</v>
      </c>
      <c r="AJ37" s="1313" t="s">
        <v>434</v>
      </c>
      <c r="AK37" s="1159"/>
      <c r="AQ37" s="11">
        <v>14</v>
      </c>
    </row>
    <row r="38" spans="1:43" ht="35.65" customHeight="1">
      <c r="Q38" s="28"/>
      <c r="R38" s="28"/>
      <c r="S38" s="1306"/>
      <c r="T38" s="1254"/>
      <c r="U38" s="607"/>
      <c r="V38" s="340" t="s">
        <v>493</v>
      </c>
      <c r="W38" s="1123" t="s">
        <v>437</v>
      </c>
      <c r="X38" s="1"/>
      <c r="Y38" s="1123" t="s">
        <v>438</v>
      </c>
      <c r="Z38" s="1146"/>
      <c r="AA38" s="1"/>
      <c r="AB38" s="1311"/>
      <c r="AC38" s="340" t="s">
        <v>493</v>
      </c>
      <c r="AD38" s="1123" t="s">
        <v>437</v>
      </c>
      <c r="AE38" s="1"/>
      <c r="AF38" s="1123" t="s">
        <v>438</v>
      </c>
      <c r="AG38" s="1146"/>
      <c r="AH38" s="1"/>
      <c r="AI38" s="1311"/>
      <c r="AJ38" s="1314"/>
      <c r="AK38" s="1159"/>
      <c r="AQ38" s="11">
        <v>34</v>
      </c>
    </row>
    <row r="39" spans="1:43" ht="35.65" customHeight="1">
      <c r="A39" s="82"/>
      <c r="B39" s="82" t="s">
        <v>143</v>
      </c>
      <c r="C39" s="82" t="s">
        <v>144</v>
      </c>
      <c r="D39" s="82" t="s">
        <v>145</v>
      </c>
      <c r="E39" s="770" t="s">
        <v>439</v>
      </c>
      <c r="F39" s="770" t="s">
        <v>440</v>
      </c>
      <c r="G39" s="770" t="s">
        <v>441</v>
      </c>
      <c r="H39" s="770"/>
      <c r="I39" s="770" t="s">
        <v>494</v>
      </c>
      <c r="J39" s="770" t="s">
        <v>444</v>
      </c>
      <c r="K39" s="770" t="s">
        <v>495</v>
      </c>
      <c r="L39" s="770" t="s">
        <v>424</v>
      </c>
      <c r="Q39" s="28"/>
      <c r="R39" s="28"/>
      <c r="S39" s="1306"/>
      <c r="T39" s="1254"/>
      <c r="U39" s="173"/>
      <c r="V39" s="340" t="s">
        <v>496</v>
      </c>
      <c r="W39" s="39" t="s">
        <v>497</v>
      </c>
      <c r="X39" s="39" t="s">
        <v>498</v>
      </c>
      <c r="Y39" s="39" t="s">
        <v>448</v>
      </c>
      <c r="Z39" s="1259" t="s">
        <v>449</v>
      </c>
      <c r="AA39" s="1273"/>
      <c r="AB39" s="1312"/>
      <c r="AC39" s="340" t="s">
        <v>496</v>
      </c>
      <c r="AD39" s="39" t="s">
        <v>497</v>
      </c>
      <c r="AE39" s="39" t="s">
        <v>498</v>
      </c>
      <c r="AF39" s="39" t="s">
        <v>448</v>
      </c>
      <c r="AG39" s="1259" t="s">
        <v>449</v>
      </c>
      <c r="AH39" s="1273"/>
      <c r="AI39" s="1312"/>
      <c r="AJ39" s="1315"/>
      <c r="AK39" s="115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242</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131</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242</v>
      </c>
      <c r="B42" s="769" t="s">
        <v>243</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403</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404</v>
      </c>
      <c r="AM42" s="69"/>
      <c r="AN42" s="69" t="str">
        <f t="shared" si="1"/>
        <v>Территория действия тарифа</v>
      </c>
      <c r="AO42" s="69"/>
      <c r="AP42" s="69"/>
      <c r="AQ42" s="11">
        <v>23</v>
      </c>
    </row>
    <row r="43" spans="1:43" ht="24" customHeight="1">
      <c r="A43" s="769" t="s">
        <v>242</v>
      </c>
      <c r="B43" s="769" t="s">
        <v>243</v>
      </c>
      <c r="C43" s="769" t="s">
        <v>244</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485</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242</v>
      </c>
      <c r="B44" s="769" t="s">
        <v>243</v>
      </c>
      <c r="C44" s="769" t="s">
        <v>244</v>
      </c>
      <c r="D44" s="769" t="s">
        <v>501</v>
      </c>
      <c r="E44" s="1294"/>
      <c r="F44" s="1294"/>
      <c r="G44" s="1294"/>
      <c r="H44" s="1294"/>
      <c r="I44" s="1295" t="str">
        <f>S43&amp;".1"</f>
        <v>...1</v>
      </c>
      <c r="J44" s="769"/>
      <c r="K44" s="769"/>
      <c r="L44" s="770"/>
      <c r="P44" s="1297">
        <v>1</v>
      </c>
      <c r="Q44" s="122"/>
      <c r="R44" s="208"/>
      <c r="S44" s="709" t="str">
        <f>$I44</f>
        <v>...1</v>
      </c>
      <c r="T44" s="164" t="s">
        <v>487</v>
      </c>
      <c r="U44" s="171"/>
      <c r="V44" s="1364"/>
      <c r="W44" s="1365"/>
      <c r="X44" s="1365"/>
      <c r="Y44" s="1365"/>
      <c r="Z44" s="1365"/>
      <c r="AA44" s="1365"/>
      <c r="AB44" s="1366"/>
      <c r="AC44" s="1367"/>
      <c r="AD44" s="1368"/>
      <c r="AE44" s="1368"/>
      <c r="AF44" s="1368"/>
      <c r="AG44" s="1368"/>
      <c r="AH44" s="1368"/>
      <c r="AI44" s="1368"/>
      <c r="AJ44" s="1369"/>
      <c r="AK44" s="729" t="s">
        <v>488</v>
      </c>
      <c r="AM44" s="69"/>
      <c r="AN44" s="69" t="str">
        <f t="shared" si="1"/>
        <v>Наименование признака дифференциации</v>
      </c>
      <c r="AO44" s="69"/>
      <c r="AP44" s="69"/>
      <c r="AQ44" s="11">
        <v>23</v>
      </c>
    </row>
    <row r="45" spans="1:43" ht="24" customHeight="1">
      <c r="A45" s="769" t="s">
        <v>242</v>
      </c>
      <c r="B45" s="769" t="s">
        <v>243</v>
      </c>
      <c r="C45" s="769" t="s">
        <v>244</v>
      </c>
      <c r="D45" s="769" t="s">
        <v>501</v>
      </c>
      <c r="E45" s="1294"/>
      <c r="F45" s="1294"/>
      <c r="G45" s="1294"/>
      <c r="H45" s="1294"/>
      <c r="I45" s="1296"/>
      <c r="J45" s="1295" t="str">
        <f>I44&amp;".1"</f>
        <v>...1.1</v>
      </c>
      <c r="K45" s="769"/>
      <c r="L45" s="770" t="s">
        <v>412</v>
      </c>
      <c r="P45" s="1297"/>
      <c r="Q45" s="1297">
        <v>1</v>
      </c>
      <c r="R45" s="209"/>
      <c r="S45" s="709" t="str">
        <f>$J45</f>
        <v>...1.1</v>
      </c>
      <c r="T45" s="165" t="s">
        <v>413</v>
      </c>
      <c r="U45" s="171"/>
      <c r="V45" s="1281"/>
      <c r="W45" s="1282"/>
      <c r="X45" s="1282"/>
      <c r="Y45" s="1282"/>
      <c r="Z45" s="1282"/>
      <c r="AA45" s="1282"/>
      <c r="AB45" s="1283"/>
      <c r="AC45" s="1281"/>
      <c r="AD45" s="1282"/>
      <c r="AE45" s="1282"/>
      <c r="AF45" s="1282"/>
      <c r="AG45" s="1282"/>
      <c r="AH45" s="1282"/>
      <c r="AI45" s="1282"/>
      <c r="AJ45" s="1283"/>
      <c r="AK45" s="753" t="s">
        <v>489</v>
      </c>
      <c r="AM45" s="69"/>
      <c r="AN45" s="69" t="str">
        <f t="shared" si="1"/>
        <v>Группа потребителей</v>
      </c>
      <c r="AO45" s="69"/>
      <c r="AP45" s="69"/>
      <c r="AQ45" s="11">
        <v>23</v>
      </c>
    </row>
    <row r="46" spans="1:43" ht="24" customHeight="1">
      <c r="A46" s="769" t="s">
        <v>242</v>
      </c>
      <c r="B46" s="769" t="s">
        <v>243</v>
      </c>
      <c r="C46" s="769" t="s">
        <v>244</v>
      </c>
      <c r="D46" s="769" t="s">
        <v>501</v>
      </c>
      <c r="E46" s="1294"/>
      <c r="F46" s="1294"/>
      <c r="G46" s="1294"/>
      <c r="H46" s="1294"/>
      <c r="I46" s="1296"/>
      <c r="J46" s="1296"/>
      <c r="K46" s="1295" t="str">
        <f>J45&amp;".1"</f>
        <v>...1.1.1</v>
      </c>
      <c r="L46" s="770"/>
      <c r="P46" s="1297"/>
      <c r="Q46" s="1297"/>
      <c r="R46" s="209">
        <v>1</v>
      </c>
      <c r="S46" s="709" t="str">
        <f>$K46</f>
        <v>...1.1.1</v>
      </c>
      <c r="T46" s="812"/>
      <c r="U46" s="171"/>
      <c r="V46" s="306"/>
      <c r="W46" s="306"/>
      <c r="X46" s="728"/>
      <c r="Y46" s="1298"/>
      <c r="Z46" s="1169" t="s">
        <v>62</v>
      </c>
      <c r="AA46" s="1298"/>
      <c r="AB46" s="1169" t="s">
        <v>62</v>
      </c>
      <c r="AC46" s="306"/>
      <c r="AD46" s="306"/>
      <c r="AE46" s="728"/>
      <c r="AF46" s="1298"/>
      <c r="AG46" s="1169" t="s">
        <v>62</v>
      </c>
      <c r="AH46" s="1300"/>
      <c r="AI46" s="1169" t="s">
        <v>62</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242</v>
      </c>
      <c r="B47" s="769" t="s">
        <v>243</v>
      </c>
      <c r="C47" s="769" t="s">
        <v>244</v>
      </c>
      <c r="D47" s="769" t="s">
        <v>501</v>
      </c>
      <c r="E47" s="1294"/>
      <c r="F47" s="1294"/>
      <c r="G47" s="1294"/>
      <c r="H47" s="1294"/>
      <c r="I47" s="1296"/>
      <c r="J47" s="1296"/>
      <c r="K47" s="1295"/>
      <c r="L47" s="770"/>
      <c r="P47" s="1297"/>
      <c r="Q47" s="1297"/>
      <c r="R47" s="209"/>
      <c r="S47" s="65"/>
      <c r="T47" s="171"/>
      <c r="U47" s="171"/>
      <c r="V47" s="191"/>
      <c r="W47" s="191"/>
      <c r="X47" s="192" t="str">
        <f>Y46&amp;"-"&amp;AA46</f>
        <v>-</v>
      </c>
      <c r="Y47" s="1299"/>
      <c r="Z47" s="1169"/>
      <c r="AA47" s="1299"/>
      <c r="AB47" s="1169"/>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242</v>
      </c>
      <c r="B48" s="769" t="s">
        <v>243</v>
      </c>
      <c r="C48" s="769" t="s">
        <v>244</v>
      </c>
      <c r="D48" s="769" t="s">
        <v>501</v>
      </c>
      <c r="E48" s="1294"/>
      <c r="F48" s="1294"/>
      <c r="G48" s="1294"/>
      <c r="H48" s="1294"/>
      <c r="I48" s="1296"/>
      <c r="J48" s="1295"/>
      <c r="K48" s="769"/>
      <c r="L48" s="770"/>
      <c r="P48" s="1297"/>
      <c r="Q48" s="1297"/>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242</v>
      </c>
      <c r="B49" s="769" t="s">
        <v>243</v>
      </c>
      <c r="C49" s="769" t="s">
        <v>244</v>
      </c>
      <c r="D49" s="769" t="s">
        <v>501</v>
      </c>
      <c r="E49" s="1294"/>
      <c r="F49" s="1294"/>
      <c r="G49" s="1294"/>
      <c r="H49" s="1294"/>
      <c r="I49" s="1295"/>
      <c r="J49" s="769"/>
      <c r="K49" s="769"/>
      <c r="L49" s="770"/>
      <c r="P49" s="1297"/>
      <c r="Q49" s="122"/>
      <c r="R49" s="208"/>
      <c r="S49" s="742"/>
      <c r="T49" s="211" t="s">
        <v>418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242</v>
      </c>
      <c r="B50" s="769" t="s">
        <v>243</v>
      </c>
      <c r="C50" s="769" t="s">
        <v>244</v>
      </c>
      <c r="D50" s="769" t="s">
        <v>501</v>
      </c>
      <c r="E50" s="1294"/>
      <c r="F50" s="1294"/>
      <c r="G50" s="1294"/>
      <c r="H50" s="1293"/>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242</v>
      </c>
      <c r="B51" s="145" t="s">
        <v>243</v>
      </c>
      <c r="C51" s="145"/>
      <c r="D51" s="145"/>
      <c r="E51" s="1294"/>
      <c r="F51" s="1293"/>
      <c r="G51" s="145"/>
      <c r="H51" s="145"/>
      <c r="I51" s="145"/>
      <c r="J51" s="145"/>
      <c r="K51" s="145"/>
      <c r="L51" s="346"/>
      <c r="M51" s="759"/>
      <c r="N51" s="759"/>
      <c r="P51" s="104"/>
      <c r="Q51" s="755"/>
      <c r="R51" s="104"/>
      <c r="S51" s="760"/>
      <c r="T51" s="762" t="s">
        <v>421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242</v>
      </c>
      <c r="B52" s="145"/>
      <c r="C52" s="145"/>
      <c r="D52" s="145"/>
      <c r="E52" s="1293"/>
      <c r="F52" s="145"/>
      <c r="G52" s="145"/>
      <c r="H52" s="145"/>
      <c r="I52" s="145"/>
      <c r="J52" s="145"/>
      <c r="K52" s="145"/>
      <c r="L52" s="346"/>
      <c r="M52" s="759"/>
      <c r="N52" s="759"/>
      <c r="P52" s="104"/>
      <c r="Q52" s="755"/>
      <c r="R52" s="104"/>
      <c r="S52" s="760"/>
      <c r="T52" s="762" t="s">
        <v>422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404</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485</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487</v>
      </c>
      <c r="U5" s="171"/>
      <c r="V5" s="1364"/>
      <c r="W5" s="1365"/>
      <c r="X5" s="1365"/>
      <c r="Y5" s="1365"/>
      <c r="Z5" s="1365"/>
      <c r="AA5" s="1365"/>
      <c r="AB5" s="1366"/>
      <c r="AC5" s="1367"/>
      <c r="AD5" s="1368"/>
      <c r="AE5" s="1368"/>
      <c r="AF5" s="1368"/>
      <c r="AG5" s="1368"/>
      <c r="AH5" s="1368"/>
      <c r="AI5" s="1368"/>
      <c r="AJ5" s="1369"/>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412</v>
      </c>
      <c r="P6" s="1297"/>
      <c r="Q6" s="1297">
        <v>1</v>
      </c>
      <c r="R6" s="209"/>
      <c r="S6" s="709" t="e">
        <f>$J6</f>
        <v>#N/A</v>
      </c>
      <c r="T6" s="165" t="s">
        <v>413</v>
      </c>
      <c r="U6" s="171"/>
      <c r="V6" s="1281"/>
      <c r="W6" s="1282"/>
      <c r="X6" s="1282"/>
      <c r="Y6" s="1282"/>
      <c r="Z6" s="1282"/>
      <c r="AA6" s="1282"/>
      <c r="AB6" s="1283"/>
      <c r="AC6" s="1281"/>
      <c r="AD6" s="1282"/>
      <c r="AE6" s="1282"/>
      <c r="AF6" s="1282"/>
      <c r="AG6" s="1282"/>
      <c r="AH6" s="1282"/>
      <c r="AI6" s="1282"/>
      <c r="AJ6" s="1283"/>
      <c r="AK6" s="753" t="s">
        <v>489</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421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422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423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424</v>
      </c>
      <c r="P20" s="506"/>
      <c r="Q20" s="815"/>
      <c r="R20" s="815"/>
      <c r="S20" s="426"/>
      <c r="T20" s="63" t="s">
        <v>425</v>
      </c>
      <c r="Z20" s="82" t="s">
        <v>426</v>
      </c>
      <c r="AB20" s="82" t="s">
        <v>427</v>
      </c>
      <c r="AC20" s="63" t="s">
        <v>425</v>
      </c>
      <c r="AG20" s="82" t="s">
        <v>428</v>
      </c>
      <c r="AI20" s="82" t="s">
        <v>427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306</v>
      </c>
      <c r="T36" s="1159"/>
      <c r="U36" s="1159"/>
      <c r="V36" s="1159"/>
      <c r="W36" s="1159"/>
      <c r="X36" s="1159"/>
      <c r="Y36" s="1159"/>
      <c r="Z36" s="1159"/>
      <c r="AA36" s="1159"/>
      <c r="AB36" s="1159"/>
      <c r="AC36" s="1159"/>
      <c r="AD36" s="1159"/>
      <c r="AE36" s="1159"/>
      <c r="AF36" s="1159"/>
      <c r="AG36" s="1159"/>
      <c r="AH36" s="1159"/>
      <c r="AI36" s="1159"/>
      <c r="AJ36" s="1159"/>
      <c r="AK36" s="1159" t="s">
        <v>307</v>
      </c>
      <c r="AQ36" s="11">
        <v>14</v>
      </c>
    </row>
    <row r="37" spans="1:43" ht="14.65" customHeight="1">
      <c r="Q37" s="28"/>
      <c r="R37" s="28"/>
      <c r="S37" s="1306" t="s">
        <v>88</v>
      </c>
      <c r="T37" s="1254" t="s">
        <v>430</v>
      </c>
      <c r="U37" s="172"/>
      <c r="V37" s="1307" t="s">
        <v>431</v>
      </c>
      <c r="W37" s="1308"/>
      <c r="X37" s="1308"/>
      <c r="Y37" s="1308"/>
      <c r="Z37" s="1308"/>
      <c r="AA37" s="1309"/>
      <c r="AB37" s="1310" t="s">
        <v>432</v>
      </c>
      <c r="AC37" s="1307" t="s">
        <v>431</v>
      </c>
      <c r="AD37" s="1308"/>
      <c r="AE37" s="1308"/>
      <c r="AF37" s="1308"/>
      <c r="AG37" s="1308"/>
      <c r="AH37" s="1309"/>
      <c r="AI37" s="1310" t="s">
        <v>433</v>
      </c>
      <c r="AJ37" s="1313" t="s">
        <v>434</v>
      </c>
      <c r="AK37" s="1159"/>
      <c r="AQ37" s="11">
        <v>14</v>
      </c>
    </row>
    <row r="38" spans="1:43" ht="35.65" customHeight="1">
      <c r="Q38" s="28"/>
      <c r="R38" s="28"/>
      <c r="S38" s="1306"/>
      <c r="T38" s="1254"/>
      <c r="U38" s="607"/>
      <c r="V38" s="340" t="s">
        <v>493</v>
      </c>
      <c r="W38" s="1123" t="s">
        <v>437</v>
      </c>
      <c r="X38" s="1"/>
      <c r="Y38" s="1123" t="s">
        <v>438</v>
      </c>
      <c r="Z38" s="1146"/>
      <c r="AA38" s="1"/>
      <c r="AB38" s="1311"/>
      <c r="AC38" s="340" t="s">
        <v>493</v>
      </c>
      <c r="AD38" s="1123" t="s">
        <v>437</v>
      </c>
      <c r="AE38" s="1"/>
      <c r="AF38" s="1123" t="s">
        <v>438</v>
      </c>
      <c r="AG38" s="1146"/>
      <c r="AH38" s="1"/>
      <c r="AI38" s="1311"/>
      <c r="AJ38" s="1314"/>
      <c r="AK38" s="1159"/>
      <c r="AQ38" s="11">
        <v>34</v>
      </c>
    </row>
    <row r="39" spans="1:43" ht="35.65" customHeight="1">
      <c r="A39" s="82"/>
      <c r="B39" s="82" t="s">
        <v>143</v>
      </c>
      <c r="C39" s="82" t="s">
        <v>144</v>
      </c>
      <c r="D39" s="82" t="s">
        <v>145</v>
      </c>
      <c r="E39" s="770" t="s">
        <v>439</v>
      </c>
      <c r="F39" s="770" t="s">
        <v>440</v>
      </c>
      <c r="G39" s="770" t="s">
        <v>441</v>
      </c>
      <c r="H39" s="770"/>
      <c r="I39" s="770" t="s">
        <v>494</v>
      </c>
      <c r="J39" s="770" t="s">
        <v>444</v>
      </c>
      <c r="K39" s="770" t="s">
        <v>495</v>
      </c>
      <c r="L39" s="770" t="s">
        <v>424</v>
      </c>
      <c r="Q39" s="28"/>
      <c r="R39" s="28"/>
      <c r="S39" s="1306"/>
      <c r="T39" s="1254"/>
      <c r="U39" s="173"/>
      <c r="V39" s="340" t="s">
        <v>496</v>
      </c>
      <c r="W39" s="39" t="s">
        <v>497</v>
      </c>
      <c r="X39" s="39" t="s">
        <v>498</v>
      </c>
      <c r="Y39" s="39" t="s">
        <v>448</v>
      </c>
      <c r="Z39" s="1259" t="s">
        <v>449</v>
      </c>
      <c r="AA39" s="1273"/>
      <c r="AB39" s="1312"/>
      <c r="AC39" s="340" t="s">
        <v>496</v>
      </c>
      <c r="AD39" s="39" t="s">
        <v>497</v>
      </c>
      <c r="AE39" s="39" t="s">
        <v>498</v>
      </c>
      <c r="AF39" s="39" t="s">
        <v>448</v>
      </c>
      <c r="AG39" s="1259" t="s">
        <v>449</v>
      </c>
      <c r="AH39" s="1273"/>
      <c r="AI39" s="1312"/>
      <c r="AJ39" s="1315"/>
      <c r="AK39" s="115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247</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131</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247</v>
      </c>
      <c r="B42" s="769" t="s">
        <v>248</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403</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404</v>
      </c>
      <c r="AM42" s="69"/>
      <c r="AN42" s="69" t="str">
        <f t="shared" si="1"/>
        <v>Территория действия тарифа</v>
      </c>
      <c r="AO42" s="69"/>
      <c r="AP42" s="69"/>
      <c r="AQ42" s="11">
        <v>23</v>
      </c>
    </row>
    <row r="43" spans="1:43" ht="24" customHeight="1">
      <c r="A43" s="769" t="s">
        <v>247</v>
      </c>
      <c r="B43" s="769" t="s">
        <v>248</v>
      </c>
      <c r="C43" s="769" t="s">
        <v>249</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485</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247</v>
      </c>
      <c r="B44" s="769" t="s">
        <v>248</v>
      </c>
      <c r="C44" s="769" t="s">
        <v>249</v>
      </c>
      <c r="D44" s="769" t="s">
        <v>502</v>
      </c>
      <c r="E44" s="1294"/>
      <c r="F44" s="1294"/>
      <c r="G44" s="1294"/>
      <c r="H44" s="1294"/>
      <c r="I44" s="1295" t="str">
        <f>S43&amp;".1"</f>
        <v>...1</v>
      </c>
      <c r="J44" s="769"/>
      <c r="K44" s="769"/>
      <c r="L44" s="770"/>
      <c r="P44" s="1297">
        <v>1</v>
      </c>
      <c r="Q44" s="122"/>
      <c r="R44" s="208"/>
      <c r="S44" s="709" t="str">
        <f>$I44</f>
        <v>...1</v>
      </c>
      <c r="T44" s="164" t="s">
        <v>487</v>
      </c>
      <c r="U44" s="171"/>
      <c r="V44" s="1364"/>
      <c r="W44" s="1365"/>
      <c r="X44" s="1365"/>
      <c r="Y44" s="1365"/>
      <c r="Z44" s="1365"/>
      <c r="AA44" s="1365"/>
      <c r="AB44" s="1366"/>
      <c r="AC44" s="1367"/>
      <c r="AD44" s="1368"/>
      <c r="AE44" s="1368"/>
      <c r="AF44" s="1368"/>
      <c r="AG44" s="1368"/>
      <c r="AH44" s="1368"/>
      <c r="AI44" s="1368"/>
      <c r="AJ44" s="1369"/>
      <c r="AK44" s="729" t="s">
        <v>488</v>
      </c>
      <c r="AM44" s="69"/>
      <c r="AN44" s="69" t="str">
        <f t="shared" si="1"/>
        <v>Наименование признака дифференциации</v>
      </c>
      <c r="AO44" s="69"/>
      <c r="AP44" s="69"/>
      <c r="AQ44" s="11">
        <v>23</v>
      </c>
    </row>
    <row r="45" spans="1:43" ht="24" customHeight="1">
      <c r="A45" s="769" t="s">
        <v>247</v>
      </c>
      <c r="B45" s="769" t="s">
        <v>248</v>
      </c>
      <c r="C45" s="769" t="s">
        <v>249</v>
      </c>
      <c r="D45" s="769" t="s">
        <v>502</v>
      </c>
      <c r="E45" s="1294"/>
      <c r="F45" s="1294"/>
      <c r="G45" s="1294"/>
      <c r="H45" s="1294"/>
      <c r="I45" s="1296"/>
      <c r="J45" s="1295" t="str">
        <f>I44&amp;".1"</f>
        <v>...1.1</v>
      </c>
      <c r="K45" s="769"/>
      <c r="L45" s="770" t="s">
        <v>412</v>
      </c>
      <c r="P45" s="1297"/>
      <c r="Q45" s="1297">
        <v>1</v>
      </c>
      <c r="R45" s="209"/>
      <c r="S45" s="709" t="str">
        <f>$J45</f>
        <v>...1.1</v>
      </c>
      <c r="T45" s="165" t="s">
        <v>413</v>
      </c>
      <c r="U45" s="171"/>
      <c r="V45" s="1281"/>
      <c r="W45" s="1282"/>
      <c r="X45" s="1282"/>
      <c r="Y45" s="1282"/>
      <c r="Z45" s="1282"/>
      <c r="AA45" s="1282"/>
      <c r="AB45" s="1283"/>
      <c r="AC45" s="1281"/>
      <c r="AD45" s="1282"/>
      <c r="AE45" s="1282"/>
      <c r="AF45" s="1282"/>
      <c r="AG45" s="1282"/>
      <c r="AH45" s="1282"/>
      <c r="AI45" s="1282"/>
      <c r="AJ45" s="1283"/>
      <c r="AK45" s="753" t="s">
        <v>489</v>
      </c>
      <c r="AM45" s="69"/>
      <c r="AN45" s="69" t="str">
        <f t="shared" si="1"/>
        <v>Группа потребителей</v>
      </c>
      <c r="AO45" s="69"/>
      <c r="AP45" s="69"/>
      <c r="AQ45" s="11">
        <v>23</v>
      </c>
    </row>
    <row r="46" spans="1:43" ht="24" customHeight="1">
      <c r="A46" s="769" t="s">
        <v>247</v>
      </c>
      <c r="B46" s="769" t="s">
        <v>248</v>
      </c>
      <c r="C46" s="769" t="s">
        <v>249</v>
      </c>
      <c r="D46" s="769" t="s">
        <v>502</v>
      </c>
      <c r="E46" s="1294"/>
      <c r="F46" s="1294"/>
      <c r="G46" s="1294"/>
      <c r="H46" s="1294"/>
      <c r="I46" s="1296"/>
      <c r="J46" s="1296"/>
      <c r="K46" s="1295" t="str">
        <f>J45&amp;".1"</f>
        <v>...1.1.1</v>
      </c>
      <c r="L46" s="770"/>
      <c r="P46" s="1297"/>
      <c r="Q46" s="1297"/>
      <c r="R46" s="209">
        <v>1</v>
      </c>
      <c r="S46" s="709" t="str">
        <f>$K46</f>
        <v>...1.1.1</v>
      </c>
      <c r="T46" s="812"/>
      <c r="U46" s="171"/>
      <c r="V46" s="306"/>
      <c r="W46" s="306"/>
      <c r="X46" s="728"/>
      <c r="Y46" s="1298"/>
      <c r="Z46" s="1169" t="s">
        <v>62</v>
      </c>
      <c r="AA46" s="1298"/>
      <c r="AB46" s="1169" t="s">
        <v>62</v>
      </c>
      <c r="AC46" s="306"/>
      <c r="AD46" s="306"/>
      <c r="AE46" s="728"/>
      <c r="AF46" s="1298"/>
      <c r="AG46" s="1169" t="s">
        <v>62</v>
      </c>
      <c r="AH46" s="1300"/>
      <c r="AI46" s="1169" t="s">
        <v>62</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247</v>
      </c>
      <c r="B47" s="769" t="s">
        <v>248</v>
      </c>
      <c r="C47" s="769" t="s">
        <v>249</v>
      </c>
      <c r="D47" s="769" t="s">
        <v>502</v>
      </c>
      <c r="E47" s="1294"/>
      <c r="F47" s="1294"/>
      <c r="G47" s="1294"/>
      <c r="H47" s="1294"/>
      <c r="I47" s="1296"/>
      <c r="J47" s="1296"/>
      <c r="K47" s="1295"/>
      <c r="L47" s="770"/>
      <c r="P47" s="1297"/>
      <c r="Q47" s="1297"/>
      <c r="R47" s="209"/>
      <c r="S47" s="65"/>
      <c r="T47" s="171"/>
      <c r="U47" s="171"/>
      <c r="V47" s="191"/>
      <c r="W47" s="191"/>
      <c r="X47" s="192" t="str">
        <f>Y46&amp;"-"&amp;AA46</f>
        <v>-</v>
      </c>
      <c r="Y47" s="1299"/>
      <c r="Z47" s="1169"/>
      <c r="AA47" s="1299"/>
      <c r="AB47" s="1169"/>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247</v>
      </c>
      <c r="B48" s="769" t="s">
        <v>248</v>
      </c>
      <c r="C48" s="769" t="s">
        <v>249</v>
      </c>
      <c r="D48" s="769" t="s">
        <v>502</v>
      </c>
      <c r="E48" s="1294"/>
      <c r="F48" s="1294"/>
      <c r="G48" s="1294"/>
      <c r="H48" s="1294"/>
      <c r="I48" s="1296"/>
      <c r="J48" s="1295"/>
      <c r="K48" s="769"/>
      <c r="L48" s="770"/>
      <c r="P48" s="1297"/>
      <c r="Q48" s="1297"/>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247</v>
      </c>
      <c r="B49" s="769" t="s">
        <v>248</v>
      </c>
      <c r="C49" s="769" t="s">
        <v>249</v>
      </c>
      <c r="D49" s="769" t="s">
        <v>502</v>
      </c>
      <c r="E49" s="1294"/>
      <c r="F49" s="1294"/>
      <c r="G49" s="1294"/>
      <c r="H49" s="1294"/>
      <c r="I49" s="1295"/>
      <c r="J49" s="769"/>
      <c r="K49" s="769"/>
      <c r="L49" s="770"/>
      <c r="P49" s="1297"/>
      <c r="Q49" s="122"/>
      <c r="R49" s="208"/>
      <c r="S49" s="742"/>
      <c r="T49" s="211" t="s">
        <v>418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247</v>
      </c>
      <c r="B50" s="769" t="s">
        <v>248</v>
      </c>
      <c r="C50" s="769" t="s">
        <v>249</v>
      </c>
      <c r="D50" s="769" t="s">
        <v>502</v>
      </c>
      <c r="E50" s="1294"/>
      <c r="F50" s="1294"/>
      <c r="G50" s="1294"/>
      <c r="H50" s="1293"/>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247</v>
      </c>
      <c r="B51" s="145" t="s">
        <v>248</v>
      </c>
      <c r="C51" s="145"/>
      <c r="D51" s="145"/>
      <c r="E51" s="1294"/>
      <c r="F51" s="1293"/>
      <c r="G51" s="145"/>
      <c r="H51" s="145"/>
      <c r="I51" s="145"/>
      <c r="J51" s="145"/>
      <c r="K51" s="145"/>
      <c r="L51" s="346"/>
      <c r="M51" s="759"/>
      <c r="N51" s="759"/>
      <c r="P51" s="104"/>
      <c r="Q51" s="755"/>
      <c r="R51" s="104"/>
      <c r="S51" s="760"/>
      <c r="T51" s="762" t="s">
        <v>421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247</v>
      </c>
      <c r="B52" s="145"/>
      <c r="C52" s="145"/>
      <c r="D52" s="145"/>
      <c r="E52" s="1293"/>
      <c r="F52" s="145"/>
      <c r="G52" s="145"/>
      <c r="H52" s="145"/>
      <c r="I52" s="145"/>
      <c r="J52" s="145"/>
      <c r="K52" s="145"/>
      <c r="L52" s="346"/>
      <c r="M52" s="759"/>
      <c r="N52" s="759"/>
      <c r="P52" s="104"/>
      <c r="Q52" s="755"/>
      <c r="R52" s="104"/>
      <c r="S52" s="760"/>
      <c r="T52" s="762" t="s">
        <v>422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8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8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8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8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93">
        <v>1</v>
      </c>
      <c r="F2" s="769"/>
      <c r="G2" s="769"/>
      <c r="H2" s="769"/>
      <c r="I2" s="769"/>
      <c r="J2" s="769"/>
      <c r="K2" s="769"/>
      <c r="L2" s="770"/>
      <c r="M2" s="426"/>
      <c r="N2" s="426"/>
      <c r="O2" s="426"/>
      <c r="Q2" s="62"/>
      <c r="R2" s="207"/>
      <c r="S2" s="709" t="e">
        <f>INDEX(PT_DIFFERENTIATION_NUM_NTAR,MATCH(A2,PT_DIFFERENTIATION_NTAR_ID,0))</f>
        <v>#N/A</v>
      </c>
      <c r="T2" s="67" t="s">
        <v>131</v>
      </c>
      <c r="U2" s="171"/>
      <c r="V2" s="1288"/>
      <c r="W2" s="1288"/>
      <c r="X2" s="1288"/>
      <c r="Y2" s="1288"/>
      <c r="Z2" s="1288"/>
      <c r="AA2" s="1288"/>
      <c r="AB2" s="1288"/>
      <c r="AC2" s="1289"/>
      <c r="AD2" s="1287" t="e">
        <f>INDEX(PT_DIFFERENTIATION_NTAR,MATCH(A2,PT_DIFFERENTIATION_NTAR_ID,0))</f>
        <v>#N/A</v>
      </c>
      <c r="AE2" s="1288"/>
      <c r="AF2" s="1288"/>
      <c r="AG2" s="1288"/>
      <c r="AH2" s="1288"/>
      <c r="AI2" s="1288"/>
      <c r="AJ2" s="1288"/>
      <c r="AK2" s="1288"/>
      <c r="AL2" s="1288"/>
      <c r="AM2" s="1288"/>
      <c r="AN2" s="1288"/>
      <c r="AO2" s="1288"/>
      <c r="AP2" s="1288"/>
      <c r="AQ2" s="1288"/>
      <c r="AR2" s="1288"/>
      <c r="AS2" s="1288"/>
      <c r="AT2" s="1288"/>
      <c r="AU2" s="1288"/>
      <c r="AV2" s="1288"/>
      <c r="AW2" s="1288"/>
      <c r="AX2" s="1288"/>
      <c r="AY2" s="1288"/>
      <c r="AZ2" s="1288"/>
      <c r="BA2" s="1288"/>
      <c r="BB2" s="1289"/>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4"/>
      <c r="F3" s="1293">
        <v>1</v>
      </c>
      <c r="G3" s="769"/>
      <c r="H3" s="769"/>
      <c r="I3" s="769"/>
      <c r="J3" s="769"/>
      <c r="K3" s="769"/>
      <c r="L3" s="770"/>
      <c r="M3" s="426"/>
      <c r="N3" s="426"/>
      <c r="O3" s="426"/>
      <c r="P3" s="301"/>
      <c r="Q3" s="802"/>
      <c r="R3" s="205"/>
      <c r="S3" s="709" t="e">
        <f>INDEX(PT_DIFFERENTIATION_NUM_TER,MATCH(B3,PT_DIFFERENTIATION_TER_ID,0))</f>
        <v>#N/A</v>
      </c>
      <c r="T3" s="177" t="s">
        <v>403</v>
      </c>
      <c r="U3" s="171"/>
      <c r="V3" s="1288"/>
      <c r="W3" s="1288"/>
      <c r="X3" s="1288"/>
      <c r="Y3" s="1288"/>
      <c r="Z3" s="1288"/>
      <c r="AA3" s="1288"/>
      <c r="AB3" s="1288"/>
      <c r="AC3" s="1289"/>
      <c r="AD3" s="1287" t="e">
        <f>INDEX(PT_DIFFERENTIATION_TER,MATCH(B3,PT_DIFFERENTIATION_TER_ID,0))</f>
        <v>#N/A</v>
      </c>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9"/>
      <c r="BC3" s="729" t="s">
        <v>404</v>
      </c>
      <c r="BE3" s="69"/>
      <c r="BF3" s="69" t="str">
        <f t="shared" si="0"/>
        <v>Территория действия тарифа</v>
      </c>
      <c r="BG3" s="69"/>
      <c r="BH3" s="69"/>
      <c r="BI3" s="11">
        <v>0</v>
      </c>
    </row>
    <row r="4" spans="1:61" ht="42" hidden="1" customHeight="1">
      <c r="A4" s="769"/>
      <c r="B4" s="769"/>
      <c r="C4" s="769"/>
      <c r="D4" s="769"/>
      <c r="E4" s="1294"/>
      <c r="F4" s="1294"/>
      <c r="G4" s="1293">
        <v>1</v>
      </c>
      <c r="H4" s="769"/>
      <c r="I4" s="769"/>
      <c r="J4" s="769"/>
      <c r="K4" s="769"/>
      <c r="L4" s="770"/>
      <c r="M4" s="426"/>
      <c r="N4" s="426"/>
      <c r="O4" s="426"/>
      <c r="P4" s="131"/>
      <c r="Q4" s="802"/>
      <c r="R4" s="205"/>
      <c r="S4" s="709" t="e">
        <f>INDEX(PT_DIFFERENTIATION_NUM_CS,MATCH(C4,PT_DIFFERENTIATION_CS_ID,0))</f>
        <v>#N/A</v>
      </c>
      <c r="T4" s="178" t="s">
        <v>485</v>
      </c>
      <c r="U4" s="171"/>
      <c r="V4" s="1288"/>
      <c r="W4" s="1288"/>
      <c r="X4" s="1288"/>
      <c r="Y4" s="1288"/>
      <c r="Z4" s="1288"/>
      <c r="AA4" s="1288"/>
      <c r="AB4" s="1288"/>
      <c r="AC4" s="1289"/>
      <c r="AD4" s="1287" t="e">
        <f>INDEX(PT_DIFFERENTIATION_CS,MATCH(C4,PT_DIFFERENTIATION_CS_ID,0))</f>
        <v>#N/A</v>
      </c>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9"/>
      <c r="BC4" s="729" t="s">
        <v>486</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94"/>
      <c r="F5" s="1294"/>
      <c r="G5" s="1294"/>
      <c r="H5" s="1293">
        <v>1</v>
      </c>
      <c r="I5" s="145"/>
      <c r="J5" s="145"/>
      <c r="K5" s="145"/>
      <c r="L5" s="346"/>
      <c r="M5" s="293"/>
      <c r="N5" s="293"/>
      <c r="O5" s="293"/>
      <c r="P5" s="820"/>
      <c r="Q5" s="821"/>
      <c r="R5" s="209"/>
      <c r="S5" s="362"/>
      <c r="T5" s="822"/>
      <c r="U5" s="780"/>
      <c r="V5" s="1325"/>
      <c r="W5" s="1325"/>
      <c r="X5" s="1325"/>
      <c r="Y5" s="1325"/>
      <c r="Z5" s="1325"/>
      <c r="AA5" s="1325"/>
      <c r="AB5" s="1325"/>
      <c r="AC5" s="1326"/>
      <c r="AD5" s="1324"/>
      <c r="AE5" s="1325"/>
      <c r="AF5" s="1325"/>
      <c r="AG5" s="1325"/>
      <c r="AH5" s="1325"/>
      <c r="AI5" s="1325"/>
      <c r="AJ5" s="1325"/>
      <c r="AK5" s="1325"/>
      <c r="AL5" s="1325"/>
      <c r="AM5" s="1325"/>
      <c r="AN5" s="1325"/>
      <c r="AO5" s="1325"/>
      <c r="AP5" s="1325"/>
      <c r="AQ5" s="1325"/>
      <c r="AR5" s="1325"/>
      <c r="AS5" s="1325"/>
      <c r="AT5" s="1325"/>
      <c r="AU5" s="1325"/>
      <c r="AV5" s="1325"/>
      <c r="AW5" s="1325"/>
      <c r="AX5" s="1325"/>
      <c r="AY5" s="1325"/>
      <c r="AZ5" s="1325"/>
      <c r="BA5" s="1325"/>
      <c r="BB5" s="1326"/>
      <c r="BC5" s="781" t="s">
        <v>408</v>
      </c>
      <c r="BE5" s="69"/>
      <c r="BF5" s="69" t="str">
        <f t="shared" si="0"/>
        <v/>
      </c>
      <c r="BG5" s="69"/>
      <c r="BH5" s="69"/>
      <c r="BI5" s="68">
        <v>0</v>
      </c>
    </row>
    <row r="6" spans="1:61" s="68" customFormat="1" ht="14.25" hidden="1" customHeight="1">
      <c r="A6" s="145"/>
      <c r="B6" s="145"/>
      <c r="C6" s="145"/>
      <c r="D6" s="145"/>
      <c r="E6" s="1294"/>
      <c r="F6" s="1294"/>
      <c r="G6" s="1294"/>
      <c r="H6" s="1294"/>
      <c r="I6" s="1295" t="str">
        <f>S5&amp;".1"</f>
        <v>.1</v>
      </c>
      <c r="J6" s="145"/>
      <c r="K6" s="145"/>
      <c r="L6" s="346" t="s">
        <v>409</v>
      </c>
      <c r="M6" s="290"/>
      <c r="N6" s="290"/>
      <c r="O6" s="290"/>
      <c r="P6" s="1297">
        <v>1</v>
      </c>
      <c r="Q6" s="122"/>
      <c r="R6" s="208"/>
      <c r="S6" s="362"/>
      <c r="T6" s="779"/>
      <c r="U6" s="780"/>
      <c r="V6" s="1325"/>
      <c r="W6" s="1325"/>
      <c r="X6" s="1325"/>
      <c r="Y6" s="1325"/>
      <c r="Z6" s="1325"/>
      <c r="AA6" s="1325"/>
      <c r="AB6" s="1325"/>
      <c r="AC6" s="1326"/>
      <c r="AD6" s="1324"/>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6"/>
      <c r="BC6" s="781"/>
      <c r="BE6" s="69"/>
      <c r="BF6" s="69" t="str">
        <f t="shared" si="0"/>
        <v/>
      </c>
      <c r="BG6" s="69"/>
      <c r="BH6" s="69"/>
      <c r="BI6" s="68">
        <v>0</v>
      </c>
    </row>
    <row r="7" spans="1:61" s="68" customFormat="1" ht="14.25" hidden="1" customHeight="1">
      <c r="A7" s="145"/>
      <c r="B7" s="145"/>
      <c r="C7" s="145"/>
      <c r="D7" s="145"/>
      <c r="E7" s="1294"/>
      <c r="F7" s="1294"/>
      <c r="G7" s="1294"/>
      <c r="H7" s="1294"/>
      <c r="I7" s="1296"/>
      <c r="J7" s="1295" t="str">
        <f>S5&amp;".1"</f>
        <v>.1</v>
      </c>
      <c r="K7" s="145"/>
      <c r="L7" s="346"/>
      <c r="M7" s="290"/>
      <c r="N7" s="290"/>
      <c r="O7" s="290"/>
      <c r="P7" s="1297"/>
      <c r="Q7" s="1297">
        <v>1</v>
      </c>
      <c r="R7" s="209"/>
      <c r="S7" s="362"/>
      <c r="T7" s="794"/>
      <c r="U7" s="780"/>
      <c r="V7" s="1325"/>
      <c r="W7" s="1325"/>
      <c r="X7" s="1325"/>
      <c r="Y7" s="1325"/>
      <c r="Z7" s="1325"/>
      <c r="AA7" s="1325"/>
      <c r="AB7" s="1325"/>
      <c r="AC7" s="1326"/>
      <c r="AD7" s="1324"/>
      <c r="AE7" s="1325"/>
      <c r="AF7" s="1325"/>
      <c r="AG7" s="1325"/>
      <c r="AH7" s="1325"/>
      <c r="AI7" s="1325"/>
      <c r="AJ7" s="1325"/>
      <c r="AK7" s="1325"/>
      <c r="AL7" s="1325"/>
      <c r="AM7" s="1325"/>
      <c r="AN7" s="1325"/>
      <c r="AO7" s="1325"/>
      <c r="AP7" s="1325"/>
      <c r="AQ7" s="1325"/>
      <c r="AR7" s="1325"/>
      <c r="AS7" s="1325"/>
      <c r="AT7" s="1325"/>
      <c r="AU7" s="1325"/>
      <c r="AV7" s="1325"/>
      <c r="AW7" s="1325"/>
      <c r="AX7" s="1325"/>
      <c r="AY7" s="1325"/>
      <c r="AZ7" s="1325"/>
      <c r="BA7" s="1325"/>
      <c r="BB7" s="1326"/>
      <c r="BC7" s="781"/>
      <c r="BE7" s="69"/>
      <c r="BF7" s="69" t="str">
        <f t="shared" si="0"/>
        <v/>
      </c>
      <c r="BG7" s="69"/>
      <c r="BH7" s="69"/>
      <c r="BI7" s="68">
        <v>0</v>
      </c>
    </row>
    <row r="8" spans="1:61" ht="11.25" hidden="1" customHeight="1">
      <c r="A8" s="769"/>
      <c r="B8" s="769"/>
      <c r="C8" s="769"/>
      <c r="D8" s="769"/>
      <c r="E8" s="1294"/>
      <c r="F8" s="1294"/>
      <c r="G8" s="1294"/>
      <c r="H8" s="1294"/>
      <c r="I8" s="1296"/>
      <c r="J8" s="1296"/>
      <c r="K8" s="1295" t="e">
        <f>S4&amp;".1"</f>
        <v>#N/A</v>
      </c>
      <c r="L8" s="770"/>
      <c r="P8" s="1297"/>
      <c r="Q8" s="1297"/>
      <c r="R8" s="1353">
        <v>1</v>
      </c>
      <c r="S8" s="1350" t="e">
        <f>$K8</f>
        <v>#N/A</v>
      </c>
      <c r="T8" s="1372"/>
      <c r="U8" s="171"/>
      <c r="V8" s="306"/>
      <c r="W8" s="728"/>
      <c r="X8" s="306"/>
      <c r="Y8" s="728"/>
      <c r="Z8" s="943"/>
      <c r="AA8" s="297" t="s">
        <v>62</v>
      </c>
      <c r="AB8" s="943"/>
      <c r="AC8" s="297" t="s">
        <v>62</v>
      </c>
      <c r="AD8" s="1237" t="s">
        <v>62</v>
      </c>
      <c r="AE8" s="1346"/>
      <c r="AF8" s="1250">
        <v>1</v>
      </c>
      <c r="AG8" s="1371"/>
      <c r="AH8" s="1169" t="s">
        <v>62</v>
      </c>
      <c r="AI8" s="1346"/>
      <c r="AJ8" s="1250">
        <v>1</v>
      </c>
      <c r="AK8" s="1360" t="s">
        <v>22</v>
      </c>
      <c r="AL8" s="1169" t="s">
        <v>62</v>
      </c>
      <c r="AM8" s="1225"/>
      <c r="AN8" s="1250">
        <v>1</v>
      </c>
      <c r="AO8" s="1375"/>
      <c r="AP8" s="1376" t="s">
        <v>62</v>
      </c>
      <c r="AQ8" s="180"/>
      <c r="AR8" s="268">
        <v>1</v>
      </c>
      <c r="AS8" s="119" t="s">
        <v>22</v>
      </c>
      <c r="AT8" s="306"/>
      <c r="AU8" s="728"/>
      <c r="AV8" s="306"/>
      <c r="AW8" s="728"/>
      <c r="AX8" s="943"/>
      <c r="AY8" s="297" t="s">
        <v>62</v>
      </c>
      <c r="AZ8" s="943"/>
      <c r="BA8" s="297" t="s">
        <v>62</v>
      </c>
      <c r="BB8" s="766"/>
      <c r="BC8" s="1316" t="s">
        <v>503</v>
      </c>
      <c r="BE8" s="69"/>
      <c r="BF8" s="69" t="str">
        <f t="shared" si="0"/>
        <v/>
      </c>
      <c r="BG8" s="69"/>
      <c r="BH8" s="69"/>
      <c r="BI8" s="11">
        <v>0</v>
      </c>
    </row>
    <row r="9" spans="1:61" ht="11.25" hidden="1" customHeight="1">
      <c r="A9" s="769"/>
      <c r="B9" s="769"/>
      <c r="C9" s="769"/>
      <c r="D9" s="769"/>
      <c r="E9" s="1294"/>
      <c r="F9" s="1294"/>
      <c r="G9" s="1294"/>
      <c r="H9" s="1294"/>
      <c r="I9" s="1296"/>
      <c r="J9" s="1296"/>
      <c r="K9" s="1295"/>
      <c r="L9" s="770"/>
      <c r="P9" s="1297"/>
      <c r="Q9" s="1297"/>
      <c r="R9" s="1353"/>
      <c r="S9" s="1351"/>
      <c r="T9" s="1373"/>
      <c r="U9" s="171"/>
      <c r="V9" s="789"/>
      <c r="W9" s="819"/>
      <c r="X9" s="789"/>
      <c r="Y9" s="819"/>
      <c r="Z9" s="789"/>
      <c r="AA9" s="789"/>
      <c r="AB9" s="789"/>
      <c r="AC9" s="789"/>
      <c r="AD9" s="1238"/>
      <c r="AE9" s="1346"/>
      <c r="AF9" s="1250"/>
      <c r="AG9" s="1371"/>
      <c r="AH9" s="1169"/>
      <c r="AI9" s="1346"/>
      <c r="AJ9" s="1250"/>
      <c r="AK9" s="1360"/>
      <c r="AL9" s="1169"/>
      <c r="AM9" s="1230"/>
      <c r="AN9" s="1250"/>
      <c r="AO9" s="1375"/>
      <c r="AP9" s="1377"/>
      <c r="AQ9" s="184"/>
      <c r="AR9" s="52"/>
      <c r="AS9" s="52" t="s">
        <v>504</v>
      </c>
      <c r="AT9" s="789"/>
      <c r="AU9" s="819"/>
      <c r="AV9" s="789"/>
      <c r="AW9" s="819"/>
      <c r="AX9" s="789"/>
      <c r="AY9" s="789"/>
      <c r="AZ9" s="789"/>
      <c r="BA9" s="789"/>
      <c r="BB9" s="793"/>
      <c r="BC9" s="1317"/>
      <c r="BE9" s="69"/>
      <c r="BF9" s="69"/>
      <c r="BG9" s="69"/>
      <c r="BH9" s="69"/>
      <c r="BI9" s="11">
        <v>0</v>
      </c>
    </row>
    <row r="10" spans="1:61" ht="11.25" hidden="1" customHeight="1">
      <c r="A10" s="769"/>
      <c r="B10" s="769"/>
      <c r="C10" s="769"/>
      <c r="D10" s="769"/>
      <c r="E10" s="1294"/>
      <c r="F10" s="1294"/>
      <c r="G10" s="1294"/>
      <c r="H10" s="1294"/>
      <c r="I10" s="1296"/>
      <c r="J10" s="1296"/>
      <c r="K10" s="1295"/>
      <c r="L10" s="770"/>
      <c r="P10" s="1297"/>
      <c r="Q10" s="1297"/>
      <c r="R10" s="1353"/>
      <c r="S10" s="1351"/>
      <c r="T10" s="1373"/>
      <c r="U10" s="171"/>
      <c r="V10" s="789"/>
      <c r="W10" s="819"/>
      <c r="X10" s="789"/>
      <c r="Y10" s="819"/>
      <c r="Z10" s="789"/>
      <c r="AA10" s="789"/>
      <c r="AB10" s="789"/>
      <c r="AC10" s="789"/>
      <c r="AD10" s="1238"/>
      <c r="AE10" s="1346"/>
      <c r="AF10" s="1250"/>
      <c r="AG10" s="1371"/>
      <c r="AH10" s="1169"/>
      <c r="AI10" s="1346"/>
      <c r="AJ10" s="1250"/>
      <c r="AK10" s="1360"/>
      <c r="AL10" s="1169"/>
      <c r="AM10" s="184"/>
      <c r="AN10" s="823"/>
      <c r="AO10" s="823" t="s">
        <v>505</v>
      </c>
      <c r="AP10" s="52"/>
      <c r="AQ10" s="52"/>
      <c r="AR10" s="52"/>
      <c r="AS10" s="789"/>
      <c r="AT10" s="789"/>
      <c r="AU10" s="819"/>
      <c r="AV10" s="789"/>
      <c r="AW10" s="819"/>
      <c r="AX10" s="789"/>
      <c r="AY10" s="789"/>
      <c r="AZ10" s="789"/>
      <c r="BA10" s="789"/>
      <c r="BB10" s="793"/>
      <c r="BC10" s="1317"/>
      <c r="BE10" s="69"/>
      <c r="BF10" s="69"/>
      <c r="BG10" s="69"/>
      <c r="BH10" s="69"/>
      <c r="BI10" s="11">
        <v>0</v>
      </c>
    </row>
    <row r="11" spans="1:61" ht="11.25" hidden="1" customHeight="1">
      <c r="A11" s="769"/>
      <c r="B11" s="769"/>
      <c r="C11" s="769"/>
      <c r="D11" s="769"/>
      <c r="E11" s="1294"/>
      <c r="F11" s="1294"/>
      <c r="G11" s="1294"/>
      <c r="H11" s="1294"/>
      <c r="I11" s="1296"/>
      <c r="J11" s="1296"/>
      <c r="K11" s="1295"/>
      <c r="L11" s="770"/>
      <c r="P11" s="1297"/>
      <c r="Q11" s="1297"/>
      <c r="R11" s="1353"/>
      <c r="S11" s="1351"/>
      <c r="T11" s="1373"/>
      <c r="U11" s="171"/>
      <c r="V11" s="789"/>
      <c r="W11" s="819"/>
      <c r="X11" s="789"/>
      <c r="Y11" s="819"/>
      <c r="Z11" s="789"/>
      <c r="AA11" s="789"/>
      <c r="AB11" s="789"/>
      <c r="AC11" s="789"/>
      <c r="AD11" s="1238"/>
      <c r="AE11" s="1346"/>
      <c r="AF11" s="1250"/>
      <c r="AG11" s="1371"/>
      <c r="AH11" s="1169"/>
      <c r="AI11" s="169"/>
      <c r="AJ11" s="110"/>
      <c r="AK11" s="182" t="s">
        <v>506</v>
      </c>
      <c r="AL11" s="789"/>
      <c r="AM11" s="789"/>
      <c r="AN11" s="789"/>
      <c r="AO11" s="789"/>
      <c r="AP11" s="789"/>
      <c r="AQ11" s="789"/>
      <c r="AR11" s="789"/>
      <c r="AS11" s="789"/>
      <c r="AT11" s="789"/>
      <c r="AU11" s="819"/>
      <c r="AV11" s="789"/>
      <c r="AW11" s="819"/>
      <c r="AX11" s="789"/>
      <c r="AY11" s="789"/>
      <c r="AZ11" s="789"/>
      <c r="BA11" s="789"/>
      <c r="BB11" s="793"/>
      <c r="BC11" s="1317"/>
      <c r="BE11" s="69"/>
      <c r="BF11" s="69"/>
      <c r="BG11" s="69"/>
      <c r="BH11" s="69"/>
      <c r="BI11" s="11">
        <v>0</v>
      </c>
    </row>
    <row r="12" spans="1:61" ht="11.25" hidden="1" customHeight="1">
      <c r="A12" s="769"/>
      <c r="B12" s="769"/>
      <c r="C12" s="769"/>
      <c r="D12" s="769"/>
      <c r="E12" s="1294"/>
      <c r="F12" s="1294"/>
      <c r="G12" s="1294"/>
      <c r="H12" s="1294"/>
      <c r="I12" s="1296"/>
      <c r="J12" s="1296"/>
      <c r="K12" s="1295"/>
      <c r="L12" s="770"/>
      <c r="P12" s="1297"/>
      <c r="Q12" s="1297"/>
      <c r="R12" s="1353"/>
      <c r="S12" s="1352"/>
      <c r="T12" s="1374"/>
      <c r="U12" s="171"/>
      <c r="V12" s="789"/>
      <c r="W12" s="790" t="str">
        <f>Z8&amp;"-"&amp;AB8</f>
        <v>-</v>
      </c>
      <c r="X12" s="789"/>
      <c r="Y12" s="790" t="str">
        <f>AB8&amp;"-"&amp;AD8</f>
        <v>-да</v>
      </c>
      <c r="Z12" s="789"/>
      <c r="AA12" s="789"/>
      <c r="AB12" s="789"/>
      <c r="AC12" s="789"/>
      <c r="AD12" s="1174"/>
      <c r="AE12" s="181"/>
      <c r="AF12" s="183"/>
      <c r="AG12" s="52" t="s">
        <v>507</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7"/>
      <c r="BE12" s="69"/>
      <c r="BF12" s="69" t="str">
        <f t="shared" ref="BF12:BF18" si="1">IF(T12="","",T12)</f>
        <v/>
      </c>
      <c r="BG12" s="69"/>
      <c r="BH12" s="69"/>
      <c r="BI12" s="11">
        <v>0</v>
      </c>
    </row>
    <row r="13" spans="1:61" ht="11.25" hidden="1" customHeight="1">
      <c r="A13" s="769"/>
      <c r="B13" s="769"/>
      <c r="C13" s="769"/>
      <c r="D13" s="769"/>
      <c r="E13" s="1294"/>
      <c r="F13" s="1294"/>
      <c r="G13" s="1294"/>
      <c r="H13" s="1294"/>
      <c r="I13" s="1296"/>
      <c r="J13" s="1295"/>
      <c r="K13" s="769"/>
      <c r="L13" s="770"/>
      <c r="P13" s="1297"/>
      <c r="Q13" s="1297"/>
      <c r="R13" s="208"/>
      <c r="S13" s="742"/>
      <c r="T13" s="166" t="s">
        <v>470</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18"/>
      <c r="BE13" s="69"/>
      <c r="BF13" s="69" t="str">
        <f t="shared" si="1"/>
        <v>Добавить строку</v>
      </c>
      <c r="BG13" s="69"/>
      <c r="BH13" s="69"/>
      <c r="BI13" s="11">
        <v>0</v>
      </c>
    </row>
    <row r="14" spans="1:61" s="68" customFormat="1" ht="14.25" hidden="1" customHeight="1">
      <c r="A14" s="145"/>
      <c r="B14" s="145"/>
      <c r="C14" s="145"/>
      <c r="D14" s="145"/>
      <c r="E14" s="1294"/>
      <c r="F14" s="1294"/>
      <c r="G14" s="1294"/>
      <c r="H14" s="1294"/>
      <c r="I14" s="1295"/>
      <c r="J14" s="145"/>
      <c r="K14" s="145"/>
      <c r="L14" s="346"/>
      <c r="M14" s="290"/>
      <c r="N14" s="290"/>
      <c r="O14" s="290"/>
      <c r="P14" s="1297"/>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4"/>
      <c r="F15" s="1294"/>
      <c r="G15" s="1294"/>
      <c r="H15" s="1293"/>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4"/>
      <c r="F16" s="1294"/>
      <c r="G16" s="1293"/>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4"/>
      <c r="F17" s="1293"/>
      <c r="G17" s="145"/>
      <c r="H17" s="145"/>
      <c r="I17" s="145"/>
      <c r="J17" s="145"/>
      <c r="K17" s="145"/>
      <c r="L17" s="346"/>
      <c r="M17" s="759"/>
      <c r="N17" s="759"/>
      <c r="P17" s="104"/>
      <c r="Q17" s="755"/>
      <c r="R17" s="104"/>
      <c r="S17" s="760"/>
      <c r="T17" s="762" t="s">
        <v>421</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3"/>
      <c r="F18" s="145"/>
      <c r="G18" s="145"/>
      <c r="H18" s="145"/>
      <c r="I18" s="145"/>
      <c r="J18" s="145"/>
      <c r="K18" s="145"/>
      <c r="L18" s="346"/>
      <c r="M18" s="759"/>
      <c r="N18" s="759"/>
      <c r="P18" s="104"/>
      <c r="Q18" s="755"/>
      <c r="R18" s="104"/>
      <c r="S18" s="760"/>
      <c r="T18" s="762" t="s">
        <v>422</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423</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424</v>
      </c>
      <c r="P24" s="830"/>
      <c r="Q24" s="831"/>
      <c r="R24" s="831"/>
      <c r="AA24" s="829" t="s">
        <v>426</v>
      </c>
      <c r="AC24" s="829" t="s">
        <v>427</v>
      </c>
      <c r="AD24" s="829" t="s">
        <v>471</v>
      </c>
      <c r="AH24" s="829" t="s">
        <v>471</v>
      </c>
      <c r="AK24" s="829" t="s">
        <v>508</v>
      </c>
      <c r="AL24" s="829" t="s">
        <v>471</v>
      </c>
      <c r="AP24" s="829" t="s">
        <v>471</v>
      </c>
      <c r="AY24" s="829" t="s">
        <v>426</v>
      </c>
      <c r="BA24" s="829" t="s">
        <v>427</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59"/>
      <c r="BI28" s="11">
        <v>14</v>
      </c>
    </row>
    <row r="29" spans="1:61" ht="14.65" customHeight="1">
      <c r="Q29" s="168"/>
      <c r="R29" s="28"/>
      <c r="S29" s="1246" t="str">
        <f>IF(org=0,"Не определено",org)</f>
        <v>Сургутское городское муниципальное унитарное предприятие "Горводоканал"</v>
      </c>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84" t="s">
        <v>42</v>
      </c>
      <c r="T31" s="1284"/>
      <c r="U31" s="773"/>
      <c r="V31" s="1286" t="str">
        <f>IF(TITLE_NAME_OR_PR_CHANGE="",IF(TITLE_NAME_OR_PR="","",TITLE_NAME_OR_PR),TITLE_NAME_OR_PR_CHANGE)</f>
        <v/>
      </c>
      <c r="W31" s="1286"/>
      <c r="X31" s="1286"/>
      <c r="Y31" s="1286"/>
      <c r="Z31" s="1286"/>
      <c r="AA31" s="1286"/>
      <c r="AB31" s="1286"/>
      <c r="AC31" s="11"/>
      <c r="AD31" s="1286" t="str">
        <f>IF(TITLE_NAME_OR_PR_CHANGE="",IF(TITLE_NAME_OR_PR="","",TITLE_NAME_OR_PR),TITLE_NAME_OR_PR_CHANGE)</f>
        <v/>
      </c>
      <c r="AE31" s="1286"/>
      <c r="AF31" s="1286"/>
      <c r="AG31" s="1286"/>
      <c r="AH31" s="1286"/>
      <c r="AI31" s="1286"/>
      <c r="AJ31" s="1286"/>
      <c r="AK31" s="1286"/>
      <c r="AL31" s="1286"/>
      <c r="AM31" s="1286"/>
      <c r="AN31" s="1286"/>
      <c r="AO31" s="1286"/>
      <c r="AP31" s="1286"/>
      <c r="AQ31" s="1286"/>
      <c r="AR31" s="1286"/>
      <c r="AS31" s="1286"/>
      <c r="AT31" s="1286"/>
      <c r="AU31" s="1286"/>
      <c r="AV31" s="1286"/>
      <c r="AW31" s="1286"/>
      <c r="AX31" s="1286"/>
      <c r="AY31" s="1286"/>
      <c r="AZ31" s="1286"/>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84" t="s">
        <v>509</v>
      </c>
      <c r="T32" s="1284"/>
      <c r="U32" s="773"/>
      <c r="V32" s="1285" t="str">
        <f>IF(TITLE_DATE_PR_CHANGE="",IF(TITLE_DATE_PR="","",TITLE_DATE_PR),TITLE_DATE_PR_CHANGE)</f>
        <v/>
      </c>
      <c r="W32" s="1285"/>
      <c r="X32" s="1285"/>
      <c r="Y32" s="1285"/>
      <c r="Z32" s="1285"/>
      <c r="AA32" s="1285"/>
      <c r="AB32" s="1285"/>
      <c r="AC32" s="11"/>
      <c r="AD32" s="1285" t="str">
        <f>IF(TITLE_DATE_PR_CHANGE="",IF(TITLE_DATE_PR="","",TITLE_DATE_PR),TITLE_DATE_PR_CHANGE)</f>
        <v/>
      </c>
      <c r="AE32" s="1285"/>
      <c r="AF32" s="1285"/>
      <c r="AG32" s="1285"/>
      <c r="AH32" s="1285"/>
      <c r="AI32" s="1285"/>
      <c r="AJ32" s="1285"/>
      <c r="AK32" s="1285"/>
      <c r="AL32" s="1285"/>
      <c r="AM32" s="1285"/>
      <c r="AN32" s="1285"/>
      <c r="AO32" s="1285"/>
      <c r="AP32" s="1285"/>
      <c r="AQ32" s="1285"/>
      <c r="AR32" s="1285"/>
      <c r="AS32" s="1285"/>
      <c r="AT32" s="1285"/>
      <c r="AU32" s="1285"/>
      <c r="AV32" s="1285"/>
      <c r="AW32" s="1285"/>
      <c r="AX32" s="1285"/>
      <c r="AY32" s="1285"/>
      <c r="AZ32" s="1285"/>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84" t="s">
        <v>510</v>
      </c>
      <c r="T33" s="1284"/>
      <c r="U33" s="773"/>
      <c r="V33" s="1286" t="str">
        <f>IF(TITLE_NUMBER_PR_CHANGE="",IF(TITLE_NUMBER_PR="","",TITLE_NUMBER_PR),TITLE_NUMBER_PR_CHANGE)</f>
        <v/>
      </c>
      <c r="W33" s="1286"/>
      <c r="X33" s="1286"/>
      <c r="Y33" s="1286"/>
      <c r="Z33" s="1286"/>
      <c r="AA33" s="1286"/>
      <c r="AB33" s="1286"/>
      <c r="AC33" s="11"/>
      <c r="AD33" s="1286" t="str">
        <f>IF(TITLE_NUMBER_PR_CHANGE="",IF(TITLE_NUMBER_PR="","",TITLE_NUMBER_PR),TITLE_NUMBER_PR_CHANGE)</f>
        <v/>
      </c>
      <c r="AE33" s="1286"/>
      <c r="AF33" s="1286"/>
      <c r="AG33" s="1286"/>
      <c r="AH33" s="1286"/>
      <c r="AI33" s="1286"/>
      <c r="AJ33" s="1286"/>
      <c r="AK33" s="1286"/>
      <c r="AL33" s="1286"/>
      <c r="AM33" s="1286"/>
      <c r="AN33" s="1286"/>
      <c r="AO33" s="1286"/>
      <c r="AP33" s="1286"/>
      <c r="AQ33" s="1286"/>
      <c r="AR33" s="1286"/>
      <c r="AS33" s="1286"/>
      <c r="AT33" s="1286"/>
      <c r="AU33" s="1286"/>
      <c r="AV33" s="1286"/>
      <c r="AW33" s="1286"/>
      <c r="AX33" s="1286"/>
      <c r="AY33" s="1286"/>
      <c r="AZ33" s="1286"/>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84" t="s">
        <v>43</v>
      </c>
      <c r="T34" s="1284"/>
      <c r="U34" s="773"/>
      <c r="V34" s="1286" t="str">
        <f>IF(TITLE_IST_PUB_CHANGE="",IF(TITLE_IST_PUB="","",TITLE_IST_PUB),TITLE_IST_PUB_CHANGE)</f>
        <v/>
      </c>
      <c r="W34" s="1286"/>
      <c r="X34" s="1286"/>
      <c r="Y34" s="1286"/>
      <c r="Z34" s="1286"/>
      <c r="AA34" s="1286"/>
      <c r="AB34" s="1286"/>
      <c r="AC34" s="11"/>
      <c r="AD34" s="1286" t="str">
        <f>IF(TITLE_IST_PUB_CHANGE="",IF(TITLE_IST_PUB="","",TITLE_IST_PUB),TITLE_IST_PUB_CHANGE)</f>
        <v/>
      </c>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84" t="s">
        <v>509</v>
      </c>
      <c r="T36" s="1284"/>
      <c r="U36" s="773"/>
      <c r="V36" s="1285" t="str">
        <f>IF(TITLE_DATE_PR_CHANGE="",IF(TITLE_DATE_PR="","",TITLE_DATE_PR),TITLE_DATE_PR_CHANGE)</f>
        <v/>
      </c>
      <c r="W36" s="1285"/>
      <c r="X36" s="1285"/>
      <c r="Y36" s="1285"/>
      <c r="Z36" s="1285"/>
      <c r="AA36" s="1285"/>
      <c r="AB36" s="1285"/>
      <c r="AC36" s="11"/>
      <c r="AD36" s="1285" t="str">
        <f>IF(TITLE_DATE_PR_CHANGE="",IF(TITLE_DATE_PR="","",TITLE_DATE_PR),TITLE_DATE_PR_CHANGE)</f>
        <v/>
      </c>
      <c r="AE36" s="1285"/>
      <c r="AF36" s="1285"/>
      <c r="AG36" s="1285"/>
      <c r="AH36" s="1285"/>
      <c r="AI36" s="1285"/>
      <c r="AJ36" s="1285"/>
      <c r="AK36" s="1285"/>
      <c r="AL36" s="1285"/>
      <c r="AM36" s="1285"/>
      <c r="AN36" s="1285"/>
      <c r="AO36" s="1285"/>
      <c r="AP36" s="1285"/>
      <c r="AQ36" s="1285"/>
      <c r="AR36" s="1285"/>
      <c r="AS36" s="1285"/>
      <c r="AT36" s="1285"/>
      <c r="AU36" s="1285"/>
      <c r="AV36" s="1285"/>
      <c r="AW36" s="1285"/>
      <c r="AX36" s="1285"/>
      <c r="AY36" s="1285"/>
      <c r="AZ36" s="1285"/>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84" t="s">
        <v>510</v>
      </c>
      <c r="T37" s="1284"/>
      <c r="U37" s="773"/>
      <c r="V37" s="1286" t="str">
        <f>IF(TITLE_NUMBER_PR_CHANGE="",IF(TITLE_NUMBER_PR="","",TITLE_NUMBER_PR),TITLE_NUMBER_PR_CHANGE)</f>
        <v/>
      </c>
      <c r="W37" s="1286"/>
      <c r="X37" s="1286"/>
      <c r="Y37" s="1286"/>
      <c r="Z37" s="1286"/>
      <c r="AA37" s="1286"/>
      <c r="AB37" s="1286"/>
      <c r="AC37" s="11"/>
      <c r="AD37" s="1286" t="str">
        <f>IF(TITLE_NUMBER_PR_CHANGE="",IF(TITLE_NUMBER_PR="","",TITLE_NUMBER_PR),TITLE_NUMBER_PR_CHANGE)</f>
        <v/>
      </c>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429</v>
      </c>
      <c r="BD38" s="69"/>
      <c r="BE38" s="69"/>
      <c r="BF38" s="69"/>
      <c r="BG38" s="69"/>
      <c r="BH38" s="69"/>
      <c r="BI38" s="35">
        <v>0</v>
      </c>
    </row>
    <row r="39" spans="1:61" ht="14.65" customHeight="1">
      <c r="Q39" s="168"/>
      <c r="R39" s="28"/>
      <c r="S39" s="739"/>
      <c r="T39" s="10"/>
      <c r="U39" s="720"/>
      <c r="V39" s="1305"/>
      <c r="W39" s="1305"/>
      <c r="X39" s="1305"/>
      <c r="Y39" s="1305"/>
      <c r="Z39" s="1305"/>
      <c r="AA39" s="1305"/>
      <c r="AB39" s="1305"/>
      <c r="AC39" s="1305"/>
      <c r="AD39" s="1305"/>
      <c r="AE39" s="1305"/>
      <c r="AF39" s="1305"/>
      <c r="AG39" s="1305"/>
      <c r="AH39" s="1305"/>
      <c r="AI39" s="1305"/>
      <c r="AJ39" s="1305"/>
      <c r="AK39" s="1305"/>
      <c r="AL39" s="1305"/>
      <c r="AM39" s="1305"/>
      <c r="AN39" s="1305"/>
      <c r="AO39" s="1305"/>
      <c r="AP39" s="1305"/>
      <c r="AQ39" s="1305"/>
      <c r="AR39" s="1305"/>
      <c r="AS39" s="1305"/>
      <c r="AT39" s="1305"/>
      <c r="AU39" s="1305"/>
      <c r="AV39" s="1305"/>
      <c r="AW39" s="1305"/>
      <c r="AX39" s="1305"/>
      <c r="AY39" s="1305"/>
      <c r="AZ39" s="1305"/>
      <c r="BA39" s="1305"/>
      <c r="BI39" s="11">
        <v>14</v>
      </c>
    </row>
    <row r="40" spans="1:61" ht="14.65" customHeight="1">
      <c r="Q40" s="168"/>
      <c r="R40" s="28"/>
      <c r="S40" s="1159" t="s">
        <v>306</v>
      </c>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1159"/>
      <c r="AP40" s="1159"/>
      <c r="AQ40" s="1159"/>
      <c r="AR40" s="1159"/>
      <c r="AS40" s="1159"/>
      <c r="AT40" s="1159"/>
      <c r="AU40" s="1159"/>
      <c r="AV40" s="1159"/>
      <c r="AW40" s="1159"/>
      <c r="AX40" s="1159"/>
      <c r="AY40" s="1159"/>
      <c r="AZ40" s="1159"/>
      <c r="BA40" s="1159"/>
      <c r="BB40" s="1159"/>
      <c r="BC40" s="1159" t="s">
        <v>307</v>
      </c>
      <c r="BI40" s="11">
        <v>14</v>
      </c>
    </row>
    <row r="41" spans="1:61" ht="14.65" customHeight="1">
      <c r="Q41" s="168"/>
      <c r="R41" s="28"/>
      <c r="S41" s="1306" t="s">
        <v>88</v>
      </c>
      <c r="T41" s="1254" t="s">
        <v>511</v>
      </c>
      <c r="U41" s="172"/>
      <c r="V41" s="1307" t="s">
        <v>431</v>
      </c>
      <c r="W41" s="1308"/>
      <c r="X41" s="1308"/>
      <c r="Y41" s="1308"/>
      <c r="Z41" s="1308"/>
      <c r="AA41" s="1308"/>
      <c r="AB41" s="1309"/>
      <c r="AC41" s="1310" t="s">
        <v>432</v>
      </c>
      <c r="AD41" s="1339" t="s">
        <v>512</v>
      </c>
      <c r="AE41" s="1323"/>
      <c r="AF41" s="1323"/>
      <c r="AG41" s="1340"/>
      <c r="AH41" s="1339" t="s">
        <v>513</v>
      </c>
      <c r="AI41" s="1323"/>
      <c r="AJ41" s="1323"/>
      <c r="AK41" s="1340"/>
      <c r="AL41" s="1339" t="s">
        <v>514</v>
      </c>
      <c r="AM41" s="1323"/>
      <c r="AN41" s="1323"/>
      <c r="AO41" s="1340"/>
      <c r="AP41" s="1339" t="s">
        <v>515</v>
      </c>
      <c r="AQ41" s="1323"/>
      <c r="AR41" s="1323"/>
      <c r="AS41" s="1340"/>
      <c r="AT41" s="1307" t="s">
        <v>431</v>
      </c>
      <c r="AU41" s="1308"/>
      <c r="AV41" s="1308"/>
      <c r="AW41" s="1308"/>
      <c r="AX41" s="1308"/>
      <c r="AY41" s="1308"/>
      <c r="AZ41" s="1309"/>
      <c r="BA41" s="1310" t="s">
        <v>432</v>
      </c>
      <c r="BB41" s="1313" t="s">
        <v>434</v>
      </c>
      <c r="BC41" s="1159"/>
      <c r="BI41" s="11">
        <v>14</v>
      </c>
    </row>
    <row r="42" spans="1:61" ht="35.65" customHeight="1">
      <c r="Q42" s="168"/>
      <c r="R42" s="28"/>
      <c r="S42" s="1306"/>
      <c r="T42" s="1254"/>
      <c r="U42" s="607"/>
      <c r="V42" s="1225" t="s">
        <v>516</v>
      </c>
      <c r="W42" s="1226"/>
      <c r="X42" s="1225" t="s">
        <v>517</v>
      </c>
      <c r="Y42" s="1226"/>
      <c r="Z42" s="1225" t="s">
        <v>518</v>
      </c>
      <c r="AA42" s="1335"/>
      <c r="AB42" s="1226"/>
      <c r="AC42" s="1311"/>
      <c r="AD42" s="1341"/>
      <c r="AE42" s="1342"/>
      <c r="AF42" s="1342"/>
      <c r="AG42" s="1354"/>
      <c r="AH42" s="1341"/>
      <c r="AI42" s="1342"/>
      <c r="AJ42" s="1342"/>
      <c r="AK42" s="1354"/>
      <c r="AL42" s="1341"/>
      <c r="AM42" s="1342"/>
      <c r="AN42" s="1342"/>
      <c r="AO42" s="1354"/>
      <c r="AP42" s="1341"/>
      <c r="AQ42" s="1342"/>
      <c r="AR42" s="1342"/>
      <c r="AS42" s="1354"/>
      <c r="AT42" s="1225" t="s">
        <v>516</v>
      </c>
      <c r="AU42" s="1226"/>
      <c r="AV42" s="1225" t="s">
        <v>517</v>
      </c>
      <c r="AW42" s="1226"/>
      <c r="AX42" s="1225" t="s">
        <v>518</v>
      </c>
      <c r="AY42" s="1335"/>
      <c r="AZ42" s="1226"/>
      <c r="BA42" s="1311"/>
      <c r="BB42" s="1314"/>
      <c r="BC42" s="1159"/>
      <c r="BI42" s="11">
        <v>34</v>
      </c>
    </row>
    <row r="43" spans="1:61" ht="14.65" customHeight="1">
      <c r="Q43" s="168"/>
      <c r="R43" s="28"/>
      <c r="S43" s="1306"/>
      <c r="T43" s="1254"/>
      <c r="U43" s="607"/>
      <c r="V43" s="1230"/>
      <c r="W43" s="1231"/>
      <c r="X43" s="1230"/>
      <c r="Y43" s="1231"/>
      <c r="Z43" s="1230"/>
      <c r="AA43" s="1336"/>
      <c r="AB43" s="1231"/>
      <c r="AC43" s="1311"/>
      <c r="AD43" s="1341"/>
      <c r="AE43" s="1342"/>
      <c r="AF43" s="1342"/>
      <c r="AG43" s="1354"/>
      <c r="AH43" s="1341"/>
      <c r="AI43" s="1342"/>
      <c r="AJ43" s="1342"/>
      <c r="AK43" s="1354"/>
      <c r="AL43" s="1341"/>
      <c r="AM43" s="1342"/>
      <c r="AN43" s="1342"/>
      <c r="AO43" s="1354"/>
      <c r="AP43" s="1341"/>
      <c r="AQ43" s="1342"/>
      <c r="AR43" s="1342"/>
      <c r="AS43" s="1354"/>
      <c r="AT43" s="1230"/>
      <c r="AU43" s="1231"/>
      <c r="AV43" s="1230"/>
      <c r="AW43" s="1231"/>
      <c r="AX43" s="1230"/>
      <c r="AY43" s="1336"/>
      <c r="AZ43" s="1231"/>
      <c r="BA43" s="1311"/>
      <c r="BB43" s="1314"/>
      <c r="BC43" s="1159"/>
      <c r="BI43" s="11">
        <v>14</v>
      </c>
    </row>
    <row r="44" spans="1:61" ht="14.65" customHeight="1">
      <c r="A44" s="82"/>
      <c r="B44" s="82" t="s">
        <v>143</v>
      </c>
      <c r="C44" s="82" t="s">
        <v>144</v>
      </c>
      <c r="D44" s="82" t="s">
        <v>145</v>
      </c>
      <c r="E44" s="770" t="s">
        <v>439</v>
      </c>
      <c r="F44" s="770" t="s">
        <v>440</v>
      </c>
      <c r="G44" s="770" t="s">
        <v>441</v>
      </c>
      <c r="H44" s="770" t="s">
        <v>442</v>
      </c>
      <c r="I44" s="770" t="s">
        <v>443</v>
      </c>
      <c r="J44" s="770" t="s">
        <v>444</v>
      </c>
      <c r="K44" s="770" t="s">
        <v>445</v>
      </c>
      <c r="L44" s="770" t="s">
        <v>424</v>
      </c>
      <c r="Q44" s="168"/>
      <c r="R44" s="28"/>
      <c r="S44" s="1306"/>
      <c r="T44" s="1254"/>
      <c r="U44" s="173"/>
      <c r="V44" s="36" t="s">
        <v>480</v>
      </c>
      <c r="W44" s="36" t="s">
        <v>481</v>
      </c>
      <c r="X44" s="36" t="s">
        <v>480</v>
      </c>
      <c r="Y44" s="36" t="s">
        <v>481</v>
      </c>
      <c r="Z44" s="39" t="s">
        <v>448</v>
      </c>
      <c r="AA44" s="1259" t="s">
        <v>449</v>
      </c>
      <c r="AB44" s="1273"/>
      <c r="AC44" s="1312"/>
      <c r="AD44" s="1343"/>
      <c r="AE44" s="1344"/>
      <c r="AF44" s="1344"/>
      <c r="AG44" s="1345"/>
      <c r="AH44" s="1343"/>
      <c r="AI44" s="1344"/>
      <c r="AJ44" s="1344"/>
      <c r="AK44" s="1345"/>
      <c r="AL44" s="1343"/>
      <c r="AM44" s="1344"/>
      <c r="AN44" s="1344"/>
      <c r="AO44" s="1345"/>
      <c r="AP44" s="1343"/>
      <c r="AQ44" s="1344"/>
      <c r="AR44" s="1344"/>
      <c r="AS44" s="1345"/>
      <c r="AT44" s="36" t="s">
        <v>480</v>
      </c>
      <c r="AU44" s="36" t="s">
        <v>481</v>
      </c>
      <c r="AV44" s="36" t="s">
        <v>480</v>
      </c>
      <c r="AW44" s="36" t="s">
        <v>481</v>
      </c>
      <c r="AX44" s="39" t="s">
        <v>448</v>
      </c>
      <c r="AY44" s="1259" t="s">
        <v>449</v>
      </c>
      <c r="AZ44" s="1273"/>
      <c r="BA44" s="1312"/>
      <c r="BB44" s="1315"/>
      <c r="BC44" s="1159"/>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304">
        <f t="shared" ca="1" si="2"/>
        <v>8</v>
      </c>
      <c r="AB45" s="1304"/>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4">
        <f ca="1">OFFSET(AY45,0,-1)+1</f>
        <v>3</v>
      </c>
      <c r="AZ45" s="1304"/>
      <c r="BA45" s="727">
        <f ca="1">OFFSET(BA45,0,-2)+1</f>
        <v>4</v>
      </c>
      <c r="BB45" s="721">
        <f ca="1">OFFSET(BB45,0,-1)</f>
        <v>4</v>
      </c>
      <c r="BC45" s="727">
        <f ca="1">OFFSET(BC45,0,-1)+1</f>
        <v>5</v>
      </c>
      <c r="BD45" s="68"/>
      <c r="BE45" s="68"/>
      <c r="BF45" s="68"/>
      <c r="BG45" s="68"/>
      <c r="BH45" s="68"/>
      <c r="BI45" s="203">
        <v>0</v>
      </c>
    </row>
    <row r="46" spans="1:61" ht="21.95" customHeight="1">
      <c r="A46" s="769" t="s">
        <v>252</v>
      </c>
      <c r="B46" s="769"/>
      <c r="C46" s="769"/>
      <c r="D46" s="769"/>
      <c r="E46" s="1293">
        <v>1</v>
      </c>
      <c r="F46" s="769"/>
      <c r="G46" s="769"/>
      <c r="H46" s="769"/>
      <c r="I46" s="769"/>
      <c r="J46" s="769"/>
      <c r="K46" s="769"/>
      <c r="L46" s="770"/>
      <c r="M46" s="426"/>
      <c r="N46" s="426"/>
      <c r="O46" s="426"/>
      <c r="Q46" s="62"/>
      <c r="R46" s="207"/>
      <c r="S46" s="709">
        <f>INDEX(PT_DIFFERENTIATION_NUM_NTAR,MATCH(A46,PT_DIFFERENTIATION_NTAR_ID,0))</f>
        <v>0</v>
      </c>
      <c r="T46" s="67" t="s">
        <v>131</v>
      </c>
      <c r="U46" s="171"/>
      <c r="V46" s="1288"/>
      <c r="W46" s="1288"/>
      <c r="X46" s="1288"/>
      <c r="Y46" s="1288"/>
      <c r="Z46" s="1288"/>
      <c r="AA46" s="1288"/>
      <c r="AB46" s="1288"/>
      <c r="AC46" s="1289"/>
      <c r="AD46" s="1287" t="str">
        <f>INDEX(PT_DIFFERENTIATION_NTAR,MATCH(A46,PT_DIFFERENTIATION_NTAR_ID,0))</f>
        <v/>
      </c>
      <c r="AE46" s="1288"/>
      <c r="AF46" s="1288"/>
      <c r="AG46" s="1288"/>
      <c r="AH46" s="1288"/>
      <c r="AI46" s="1288"/>
      <c r="AJ46" s="1288"/>
      <c r="AK46" s="1288"/>
      <c r="AL46" s="1288"/>
      <c r="AM46" s="1288"/>
      <c r="AN46" s="1288"/>
      <c r="AO46" s="1288"/>
      <c r="AP46" s="1288"/>
      <c r="AQ46" s="1288"/>
      <c r="AR46" s="1288"/>
      <c r="AS46" s="1288"/>
      <c r="AT46" s="1288"/>
      <c r="AU46" s="1288"/>
      <c r="AV46" s="1288"/>
      <c r="AW46" s="1288"/>
      <c r="AX46" s="1288"/>
      <c r="AY46" s="1288"/>
      <c r="AZ46" s="1288"/>
      <c r="BA46" s="1288"/>
      <c r="BB46" s="1289"/>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252</v>
      </c>
      <c r="B47" s="769" t="s">
        <v>253</v>
      </c>
      <c r="C47" s="769"/>
      <c r="D47" s="769"/>
      <c r="E47" s="1294"/>
      <c r="F47" s="1293">
        <v>1</v>
      </c>
      <c r="G47" s="769"/>
      <c r="H47" s="769"/>
      <c r="I47" s="769"/>
      <c r="J47" s="769"/>
      <c r="K47" s="769"/>
      <c r="L47" s="770"/>
      <c r="M47" s="426"/>
      <c r="N47" s="426"/>
      <c r="O47" s="426"/>
      <c r="P47" s="301"/>
      <c r="Q47" s="802"/>
      <c r="R47" s="205"/>
      <c r="S47" s="709" t="str">
        <f>INDEX(PT_DIFFERENTIATION_NUM_TER,MATCH(B47,PT_DIFFERENTIATION_TER_ID,0))</f>
        <v>.</v>
      </c>
      <c r="T47" s="177" t="s">
        <v>403</v>
      </c>
      <c r="U47" s="171"/>
      <c r="V47" s="1288"/>
      <c r="W47" s="1288"/>
      <c r="X47" s="1288"/>
      <c r="Y47" s="1288"/>
      <c r="Z47" s="1288"/>
      <c r="AA47" s="1288"/>
      <c r="AB47" s="1288"/>
      <c r="AC47" s="1289"/>
      <c r="AD47" s="1287" t="str">
        <f>INDEX(PT_DIFFERENTIATION_TER,MATCH(B47,PT_DIFFERENTIATION_TER_ID,0))</f>
        <v/>
      </c>
      <c r="AE47" s="1288"/>
      <c r="AF47" s="1288"/>
      <c r="AG47" s="1288"/>
      <c r="AH47" s="1288"/>
      <c r="AI47" s="1288"/>
      <c r="AJ47" s="1288"/>
      <c r="AK47" s="1288"/>
      <c r="AL47" s="1288"/>
      <c r="AM47" s="1288"/>
      <c r="AN47" s="1288"/>
      <c r="AO47" s="1288"/>
      <c r="AP47" s="1288"/>
      <c r="AQ47" s="1288"/>
      <c r="AR47" s="1288"/>
      <c r="AS47" s="1288"/>
      <c r="AT47" s="1288"/>
      <c r="AU47" s="1288"/>
      <c r="AV47" s="1288"/>
      <c r="AW47" s="1288"/>
      <c r="AX47" s="1288"/>
      <c r="AY47" s="1288"/>
      <c r="AZ47" s="1288"/>
      <c r="BA47" s="1288"/>
      <c r="BB47" s="1289"/>
      <c r="BC47" s="729" t="s">
        <v>404</v>
      </c>
      <c r="BE47" s="69"/>
      <c r="BF47" s="69" t="str">
        <f t="shared" si="3"/>
        <v>Территория действия тарифа</v>
      </c>
      <c r="BG47" s="69"/>
      <c r="BH47" s="69"/>
      <c r="BI47" s="11">
        <v>21</v>
      </c>
    </row>
    <row r="48" spans="1:61" ht="43.15" customHeight="1">
      <c r="A48" s="769" t="s">
        <v>252</v>
      </c>
      <c r="B48" s="769" t="s">
        <v>253</v>
      </c>
      <c r="C48" s="769" t="s">
        <v>254</v>
      </c>
      <c r="D48" s="769"/>
      <c r="E48" s="1294"/>
      <c r="F48" s="1294"/>
      <c r="G48" s="1293">
        <v>1</v>
      </c>
      <c r="H48" s="769"/>
      <c r="I48" s="769"/>
      <c r="J48" s="769"/>
      <c r="K48" s="769"/>
      <c r="L48" s="770"/>
      <c r="M48" s="426"/>
      <c r="N48" s="426"/>
      <c r="O48" s="426"/>
      <c r="P48" s="131"/>
      <c r="Q48" s="802"/>
      <c r="R48" s="205"/>
      <c r="S48" s="709" t="str">
        <f>INDEX(PT_DIFFERENTIATION_NUM_CS,MATCH(C48,PT_DIFFERENTIATION_CS_ID,0))</f>
        <v>..</v>
      </c>
      <c r="T48" s="178" t="s">
        <v>485</v>
      </c>
      <c r="U48" s="171"/>
      <c r="V48" s="1288"/>
      <c r="W48" s="1288"/>
      <c r="X48" s="1288"/>
      <c r="Y48" s="1288"/>
      <c r="Z48" s="1288"/>
      <c r="AA48" s="1288"/>
      <c r="AB48" s="1288"/>
      <c r="AC48" s="1289"/>
      <c r="AD48" s="1287" t="str">
        <f>INDEX(PT_DIFFERENTIATION_CS,MATCH(C48,PT_DIFFERENTIATION_CS_ID,0))</f>
        <v/>
      </c>
      <c r="AE48" s="1288"/>
      <c r="AF48" s="1288"/>
      <c r="AG48" s="1288"/>
      <c r="AH48" s="1288"/>
      <c r="AI48" s="1288"/>
      <c r="AJ48" s="1288"/>
      <c r="AK48" s="1288"/>
      <c r="AL48" s="1288"/>
      <c r="AM48" s="1288"/>
      <c r="AN48" s="1288"/>
      <c r="AO48" s="1288"/>
      <c r="AP48" s="1288"/>
      <c r="AQ48" s="1288"/>
      <c r="AR48" s="1288"/>
      <c r="AS48" s="1288"/>
      <c r="AT48" s="1288"/>
      <c r="AU48" s="1288"/>
      <c r="AV48" s="1288"/>
      <c r="AW48" s="1288"/>
      <c r="AX48" s="1288"/>
      <c r="AY48" s="1288"/>
      <c r="AZ48" s="1288"/>
      <c r="BA48" s="1288"/>
      <c r="BB48" s="1289"/>
      <c r="BC48" s="729" t="s">
        <v>486</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252</v>
      </c>
      <c r="B49" s="145" t="s">
        <v>253</v>
      </c>
      <c r="C49" s="145" t="s">
        <v>254</v>
      </c>
      <c r="D49" s="145" t="s">
        <v>519</v>
      </c>
      <c r="E49" s="1294"/>
      <c r="F49" s="1294"/>
      <c r="G49" s="1294"/>
      <c r="H49" s="1293">
        <v>1</v>
      </c>
      <c r="I49" s="145"/>
      <c r="J49" s="145"/>
      <c r="K49" s="145"/>
      <c r="L49" s="346"/>
      <c r="M49" s="293"/>
      <c r="N49" s="293"/>
      <c r="O49" s="293"/>
      <c r="P49" s="820"/>
      <c r="Q49" s="821"/>
      <c r="R49" s="209"/>
      <c r="S49" s="362"/>
      <c r="T49" s="822"/>
      <c r="U49" s="780"/>
      <c r="V49" s="1325"/>
      <c r="W49" s="1325"/>
      <c r="X49" s="1325"/>
      <c r="Y49" s="1325"/>
      <c r="Z49" s="1325"/>
      <c r="AA49" s="1325"/>
      <c r="AB49" s="1325"/>
      <c r="AC49" s="1326"/>
      <c r="AD49" s="1324"/>
      <c r="AE49" s="1325"/>
      <c r="AF49" s="1325"/>
      <c r="AG49" s="1325"/>
      <c r="AH49" s="1325"/>
      <c r="AI49" s="1325"/>
      <c r="AJ49" s="1325"/>
      <c r="AK49" s="1325"/>
      <c r="AL49" s="1325"/>
      <c r="AM49" s="1325"/>
      <c r="AN49" s="1325"/>
      <c r="AO49" s="1325"/>
      <c r="AP49" s="1325"/>
      <c r="AQ49" s="1325"/>
      <c r="AR49" s="1325"/>
      <c r="AS49" s="1325"/>
      <c r="AT49" s="1325"/>
      <c r="AU49" s="1325"/>
      <c r="AV49" s="1325"/>
      <c r="AW49" s="1325"/>
      <c r="AX49" s="1325"/>
      <c r="AY49" s="1325"/>
      <c r="AZ49" s="1325"/>
      <c r="BA49" s="1325"/>
      <c r="BB49" s="1326"/>
      <c r="BC49" s="781" t="s">
        <v>408</v>
      </c>
      <c r="BE49" s="69"/>
      <c r="BF49" s="69" t="str">
        <f t="shared" si="3"/>
        <v/>
      </c>
      <c r="BG49" s="69"/>
      <c r="BH49" s="69"/>
      <c r="BI49" s="68">
        <v>0</v>
      </c>
    </row>
    <row r="50" spans="1:61" s="68" customFormat="1" ht="0" hidden="1" customHeight="1">
      <c r="A50" s="145" t="s">
        <v>252</v>
      </c>
      <c r="B50" s="145" t="s">
        <v>253</v>
      </c>
      <c r="C50" s="145" t="s">
        <v>254</v>
      </c>
      <c r="D50" s="145" t="s">
        <v>519</v>
      </c>
      <c r="E50" s="1294"/>
      <c r="F50" s="1294"/>
      <c r="G50" s="1294"/>
      <c r="H50" s="1294"/>
      <c r="I50" s="1295" t="str">
        <f>S49&amp;".1"</f>
        <v>.1</v>
      </c>
      <c r="J50" s="145"/>
      <c r="K50" s="145"/>
      <c r="L50" s="346" t="s">
        <v>409</v>
      </c>
      <c r="M50" s="290"/>
      <c r="N50" s="290"/>
      <c r="O50" s="290"/>
      <c r="P50" s="1297">
        <v>1</v>
      </c>
      <c r="Q50" s="122"/>
      <c r="R50" s="208"/>
      <c r="S50" s="362"/>
      <c r="T50" s="779"/>
      <c r="U50" s="780"/>
      <c r="V50" s="1325"/>
      <c r="W50" s="1325"/>
      <c r="X50" s="1325"/>
      <c r="Y50" s="1325"/>
      <c r="Z50" s="1325"/>
      <c r="AA50" s="1325"/>
      <c r="AB50" s="1325"/>
      <c r="AC50" s="1326"/>
      <c r="AD50" s="1324"/>
      <c r="AE50" s="1325"/>
      <c r="AF50" s="1325"/>
      <c r="AG50" s="1325"/>
      <c r="AH50" s="1325"/>
      <c r="AI50" s="1325"/>
      <c r="AJ50" s="1325"/>
      <c r="AK50" s="1325"/>
      <c r="AL50" s="1325"/>
      <c r="AM50" s="1325"/>
      <c r="AN50" s="1325"/>
      <c r="AO50" s="1325"/>
      <c r="AP50" s="1325"/>
      <c r="AQ50" s="1325"/>
      <c r="AR50" s="1325"/>
      <c r="AS50" s="1325"/>
      <c r="AT50" s="1325"/>
      <c r="AU50" s="1325"/>
      <c r="AV50" s="1325"/>
      <c r="AW50" s="1325"/>
      <c r="AX50" s="1325"/>
      <c r="AY50" s="1325"/>
      <c r="AZ50" s="1325"/>
      <c r="BA50" s="1325"/>
      <c r="BB50" s="1326"/>
      <c r="BC50" s="781"/>
      <c r="BE50" s="69"/>
      <c r="BF50" s="69" t="str">
        <f t="shared" si="3"/>
        <v/>
      </c>
      <c r="BG50" s="69"/>
      <c r="BH50" s="69"/>
      <c r="BI50" s="68">
        <v>0</v>
      </c>
    </row>
    <row r="51" spans="1:61" s="68" customFormat="1" ht="0" hidden="1" customHeight="1">
      <c r="A51" s="145" t="s">
        <v>252</v>
      </c>
      <c r="B51" s="145" t="s">
        <v>253</v>
      </c>
      <c r="C51" s="145" t="s">
        <v>254</v>
      </c>
      <c r="D51" s="145" t="s">
        <v>519</v>
      </c>
      <c r="E51" s="1294"/>
      <c r="F51" s="1294"/>
      <c r="G51" s="1294"/>
      <c r="H51" s="1294"/>
      <c r="I51" s="1296"/>
      <c r="J51" s="1295" t="str">
        <f>S49&amp;".1"</f>
        <v>.1</v>
      </c>
      <c r="K51" s="145"/>
      <c r="L51" s="346"/>
      <c r="M51" s="290"/>
      <c r="N51" s="290"/>
      <c r="O51" s="290"/>
      <c r="P51" s="1297"/>
      <c r="Q51" s="1297">
        <v>1</v>
      </c>
      <c r="R51" s="209"/>
      <c r="S51" s="362"/>
      <c r="T51" s="794"/>
      <c r="U51" s="780"/>
      <c r="V51" s="1325"/>
      <c r="W51" s="1325"/>
      <c r="X51" s="1325"/>
      <c r="Y51" s="1325"/>
      <c r="Z51" s="1325"/>
      <c r="AA51" s="1325"/>
      <c r="AB51" s="1325"/>
      <c r="AC51" s="1326"/>
      <c r="AD51" s="1324"/>
      <c r="AE51" s="1325"/>
      <c r="AF51" s="1325"/>
      <c r="AG51" s="1325"/>
      <c r="AH51" s="1325"/>
      <c r="AI51" s="1325"/>
      <c r="AJ51" s="1325"/>
      <c r="AK51" s="1325"/>
      <c r="AL51" s="1325"/>
      <c r="AM51" s="1325"/>
      <c r="AN51" s="1378"/>
      <c r="AO51" s="1378"/>
      <c r="AP51" s="1325"/>
      <c r="AQ51" s="1325"/>
      <c r="AR51" s="1325"/>
      <c r="AS51" s="1325"/>
      <c r="AT51" s="1325"/>
      <c r="AU51" s="1325"/>
      <c r="AV51" s="1325"/>
      <c r="AW51" s="1325"/>
      <c r="AX51" s="1325"/>
      <c r="AY51" s="1325"/>
      <c r="AZ51" s="1325"/>
      <c r="BA51" s="1325"/>
      <c r="BB51" s="1326"/>
      <c r="BC51" s="781"/>
      <c r="BE51" s="69"/>
      <c r="BF51" s="69" t="str">
        <f t="shared" si="3"/>
        <v/>
      </c>
      <c r="BG51" s="69"/>
      <c r="BH51" s="69"/>
      <c r="BI51" s="68">
        <v>0</v>
      </c>
    </row>
    <row r="52" spans="1:61" ht="11.45" customHeight="1">
      <c r="A52" s="769" t="s">
        <v>252</v>
      </c>
      <c r="B52" s="769" t="s">
        <v>253</v>
      </c>
      <c r="C52" s="769" t="s">
        <v>254</v>
      </c>
      <c r="D52" s="769" t="s">
        <v>519</v>
      </c>
      <c r="E52" s="1294"/>
      <c r="F52" s="1294"/>
      <c r="G52" s="1294"/>
      <c r="H52" s="1294"/>
      <c r="I52" s="1296"/>
      <c r="J52" s="1296"/>
      <c r="K52" s="1295" t="str">
        <f>S48&amp;".1"</f>
        <v>...1</v>
      </c>
      <c r="L52" s="770"/>
      <c r="P52" s="1297"/>
      <c r="Q52" s="1297"/>
      <c r="R52" s="209">
        <v>1</v>
      </c>
      <c r="S52" s="1350" t="str">
        <f>$K52</f>
        <v>...1</v>
      </c>
      <c r="T52" s="1372"/>
      <c r="U52" s="171"/>
      <c r="V52" s="306"/>
      <c r="W52" s="728"/>
      <c r="X52" s="306"/>
      <c r="Y52" s="728"/>
      <c r="Z52" s="943"/>
      <c r="AA52" s="297" t="s">
        <v>62</v>
      </c>
      <c r="AB52" s="943"/>
      <c r="AC52" s="297" t="s">
        <v>62</v>
      </c>
      <c r="AD52" s="1237" t="s">
        <v>62</v>
      </c>
      <c r="AE52" s="1346"/>
      <c r="AF52" s="1250">
        <v>1</v>
      </c>
      <c r="AG52" s="1371"/>
      <c r="AH52" s="1169" t="s">
        <v>62</v>
      </c>
      <c r="AI52" s="1346"/>
      <c r="AJ52" s="1250">
        <v>1</v>
      </c>
      <c r="AK52" s="1360" t="s">
        <v>22</v>
      </c>
      <c r="AL52" s="1169" t="s">
        <v>62</v>
      </c>
      <c r="AM52" s="1225"/>
      <c r="AN52" s="1250">
        <v>1</v>
      </c>
      <c r="AO52" s="1375"/>
      <c r="AP52" s="1376" t="s">
        <v>62</v>
      </c>
      <c r="AQ52" s="180"/>
      <c r="AR52" s="268">
        <v>1</v>
      </c>
      <c r="AS52" s="119" t="s">
        <v>22</v>
      </c>
      <c r="AT52" s="306"/>
      <c r="AU52" s="728"/>
      <c r="AV52" s="306"/>
      <c r="AW52" s="728"/>
      <c r="AX52" s="943"/>
      <c r="AY52" s="297" t="s">
        <v>62</v>
      </c>
      <c r="AZ52" s="943"/>
      <c r="BA52" s="297" t="s">
        <v>62</v>
      </c>
      <c r="BB52" s="766"/>
      <c r="BC52" s="1316" t="s">
        <v>503</v>
      </c>
      <c r="BE52" s="69"/>
      <c r="BF52" s="69" t="str">
        <f t="shared" si="3"/>
        <v/>
      </c>
      <c r="BG52" s="69"/>
      <c r="BH52" s="69"/>
      <c r="BI52" s="11">
        <v>11</v>
      </c>
    </row>
    <row r="53" spans="1:61" ht="11.45" customHeight="1">
      <c r="A53" s="769"/>
      <c r="B53" s="769"/>
      <c r="C53" s="769"/>
      <c r="D53" s="769"/>
      <c r="E53" s="1294"/>
      <c r="F53" s="1294"/>
      <c r="G53" s="1294"/>
      <c r="H53" s="1294"/>
      <c r="I53" s="1296"/>
      <c r="J53" s="1296"/>
      <c r="K53" s="1295"/>
      <c r="L53" s="770"/>
      <c r="P53" s="1297"/>
      <c r="Q53" s="1297"/>
      <c r="R53" s="209"/>
      <c r="S53" s="1351"/>
      <c r="T53" s="1373"/>
      <c r="U53" s="171"/>
      <c r="V53" s="789"/>
      <c r="W53" s="819"/>
      <c r="X53" s="789"/>
      <c r="Y53" s="819"/>
      <c r="Z53" s="789"/>
      <c r="AA53" s="789"/>
      <c r="AB53" s="789"/>
      <c r="AC53" s="789"/>
      <c r="AD53" s="1238"/>
      <c r="AE53" s="1346"/>
      <c r="AF53" s="1250"/>
      <c r="AG53" s="1371"/>
      <c r="AH53" s="1169"/>
      <c r="AI53" s="1346"/>
      <c r="AJ53" s="1250"/>
      <c r="AK53" s="1360"/>
      <c r="AL53" s="1169"/>
      <c r="AM53" s="1230"/>
      <c r="AN53" s="1250"/>
      <c r="AO53" s="1375"/>
      <c r="AP53" s="1377"/>
      <c r="AQ53" s="184"/>
      <c r="AR53" s="52"/>
      <c r="AS53" s="52" t="s">
        <v>504</v>
      </c>
      <c r="AT53" s="789"/>
      <c r="AU53" s="819"/>
      <c r="AV53" s="789"/>
      <c r="AW53" s="819"/>
      <c r="AX53" s="789"/>
      <c r="AY53" s="789"/>
      <c r="AZ53" s="789"/>
      <c r="BA53" s="789"/>
      <c r="BB53" s="793"/>
      <c r="BC53" s="1317"/>
      <c r="BE53" s="69"/>
      <c r="BF53" s="69"/>
      <c r="BG53" s="69"/>
      <c r="BH53" s="69"/>
      <c r="BI53" s="11">
        <v>11</v>
      </c>
    </row>
    <row r="54" spans="1:61" ht="11.45" customHeight="1">
      <c r="A54" s="769" t="s">
        <v>252</v>
      </c>
      <c r="B54" s="769"/>
      <c r="C54" s="769"/>
      <c r="D54" s="769"/>
      <c r="E54" s="1294"/>
      <c r="F54" s="1294"/>
      <c r="G54" s="1294"/>
      <c r="H54" s="1294"/>
      <c r="I54" s="1296"/>
      <c r="J54" s="1296"/>
      <c r="K54" s="1295"/>
      <c r="L54" s="770"/>
      <c r="P54" s="1297"/>
      <c r="Q54" s="1297"/>
      <c r="R54" s="209"/>
      <c r="S54" s="1351"/>
      <c r="T54" s="1373"/>
      <c r="U54" s="171"/>
      <c r="V54" s="789"/>
      <c r="W54" s="819"/>
      <c r="X54" s="789"/>
      <c r="Y54" s="819"/>
      <c r="Z54" s="789"/>
      <c r="AA54" s="789"/>
      <c r="AB54" s="789"/>
      <c r="AC54" s="789"/>
      <c r="AD54" s="1238"/>
      <c r="AE54" s="1346"/>
      <c r="AF54" s="1250"/>
      <c r="AG54" s="1371"/>
      <c r="AH54" s="1169"/>
      <c r="AI54" s="1346"/>
      <c r="AJ54" s="1250"/>
      <c r="AK54" s="1360"/>
      <c r="AL54" s="1169"/>
      <c r="AM54" s="184"/>
      <c r="AN54" s="823"/>
      <c r="AO54" s="823" t="s">
        <v>505</v>
      </c>
      <c r="AP54" s="52"/>
      <c r="AQ54" s="52"/>
      <c r="AR54" s="52"/>
      <c r="AS54" s="789"/>
      <c r="AT54" s="789"/>
      <c r="AU54" s="819"/>
      <c r="AV54" s="789"/>
      <c r="AW54" s="819"/>
      <c r="AX54" s="789"/>
      <c r="AY54" s="789"/>
      <c r="AZ54" s="789"/>
      <c r="BA54" s="789"/>
      <c r="BB54" s="793"/>
      <c r="BC54" s="1317"/>
      <c r="BE54" s="69"/>
      <c r="BF54" s="69"/>
      <c r="BG54" s="69"/>
      <c r="BH54" s="69"/>
      <c r="BI54" s="11">
        <v>11</v>
      </c>
    </row>
    <row r="55" spans="1:61" ht="11.45" customHeight="1">
      <c r="A55" s="769" t="s">
        <v>252</v>
      </c>
      <c r="B55" s="769"/>
      <c r="C55" s="769"/>
      <c r="D55" s="769"/>
      <c r="E55" s="1294"/>
      <c r="F55" s="1294"/>
      <c r="G55" s="1294"/>
      <c r="H55" s="1294"/>
      <c r="I55" s="1296"/>
      <c r="J55" s="1296"/>
      <c r="K55" s="1295"/>
      <c r="L55" s="770"/>
      <c r="P55" s="1297"/>
      <c r="Q55" s="1297"/>
      <c r="R55" s="209"/>
      <c r="S55" s="1351"/>
      <c r="T55" s="1373"/>
      <c r="U55" s="171"/>
      <c r="V55" s="789"/>
      <c r="W55" s="819"/>
      <c r="X55" s="789"/>
      <c r="Y55" s="819"/>
      <c r="Z55" s="789"/>
      <c r="AA55" s="789"/>
      <c r="AB55" s="789"/>
      <c r="AC55" s="789"/>
      <c r="AD55" s="1238"/>
      <c r="AE55" s="1346"/>
      <c r="AF55" s="1250"/>
      <c r="AG55" s="1371"/>
      <c r="AH55" s="1169"/>
      <c r="AI55" s="169"/>
      <c r="AJ55" s="110"/>
      <c r="AK55" s="182" t="s">
        <v>506</v>
      </c>
      <c r="AL55" s="789"/>
      <c r="AM55" s="789"/>
      <c r="AN55" s="789"/>
      <c r="AO55" s="789"/>
      <c r="AP55" s="789"/>
      <c r="AQ55" s="789"/>
      <c r="AR55" s="789"/>
      <c r="AS55" s="789"/>
      <c r="AT55" s="789"/>
      <c r="AU55" s="819"/>
      <c r="AV55" s="789"/>
      <c r="AW55" s="819"/>
      <c r="AX55" s="789"/>
      <c r="AY55" s="789"/>
      <c r="AZ55" s="789"/>
      <c r="BA55" s="789"/>
      <c r="BB55" s="793"/>
      <c r="BC55" s="1317"/>
      <c r="BE55" s="69"/>
      <c r="BF55" s="69"/>
      <c r="BG55" s="69"/>
      <c r="BH55" s="69"/>
      <c r="BI55" s="11">
        <v>11</v>
      </c>
    </row>
    <row r="56" spans="1:61" ht="11.45" customHeight="1">
      <c r="A56" s="769" t="s">
        <v>252</v>
      </c>
      <c r="B56" s="769" t="s">
        <v>253</v>
      </c>
      <c r="C56" s="769" t="s">
        <v>254</v>
      </c>
      <c r="D56" s="769" t="s">
        <v>519</v>
      </c>
      <c r="E56" s="1294"/>
      <c r="F56" s="1294"/>
      <c r="G56" s="1294"/>
      <c r="H56" s="1294"/>
      <c r="I56" s="1296"/>
      <c r="J56" s="1296"/>
      <c r="K56" s="1295"/>
      <c r="L56" s="770"/>
      <c r="P56" s="1297"/>
      <c r="Q56" s="1297"/>
      <c r="R56" s="209"/>
      <c r="S56" s="1352"/>
      <c r="T56" s="1374"/>
      <c r="U56" s="171"/>
      <c r="V56" s="789"/>
      <c r="W56" s="790" t="str">
        <f>Z52&amp;"-"&amp;AB52</f>
        <v>-</v>
      </c>
      <c r="X56" s="789"/>
      <c r="Y56" s="790" t="str">
        <f>AB52&amp;"-"&amp;AD52</f>
        <v>-да</v>
      </c>
      <c r="Z56" s="789"/>
      <c r="AA56" s="789"/>
      <c r="AB56" s="789"/>
      <c r="AC56" s="789"/>
      <c r="AD56" s="1174"/>
      <c r="AE56" s="181"/>
      <c r="AF56" s="183"/>
      <c r="AG56" s="52" t="s">
        <v>507</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7"/>
      <c r="BE56" s="69"/>
      <c r="BF56" s="69" t="str">
        <f t="shared" ref="BF56:BF63" si="4">IF(T56="","",T56)</f>
        <v/>
      </c>
      <c r="BG56" s="69"/>
      <c r="BH56" s="69"/>
      <c r="BI56" s="11">
        <v>11</v>
      </c>
    </row>
    <row r="57" spans="1:61" ht="11.45" customHeight="1">
      <c r="A57" s="769" t="s">
        <v>252</v>
      </c>
      <c r="B57" s="769" t="s">
        <v>253</v>
      </c>
      <c r="C57" s="769" t="s">
        <v>254</v>
      </c>
      <c r="D57" s="769" t="s">
        <v>519</v>
      </c>
      <c r="E57" s="1294"/>
      <c r="F57" s="1294"/>
      <c r="G57" s="1294"/>
      <c r="H57" s="1294"/>
      <c r="I57" s="1296"/>
      <c r="J57" s="1295"/>
      <c r="K57" s="769"/>
      <c r="L57" s="770"/>
      <c r="P57" s="1297"/>
      <c r="Q57" s="1297"/>
      <c r="R57" s="208"/>
      <c r="S57" s="742"/>
      <c r="T57" s="166" t="s">
        <v>470</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18"/>
      <c r="BE57" s="69"/>
      <c r="BF57" s="69" t="str">
        <f t="shared" si="4"/>
        <v>Добавить строку</v>
      </c>
      <c r="BG57" s="69"/>
      <c r="BH57" s="69"/>
      <c r="BI57" s="11">
        <v>11</v>
      </c>
    </row>
    <row r="58" spans="1:61" s="68" customFormat="1" ht="0" hidden="1" customHeight="1">
      <c r="A58" s="145" t="s">
        <v>252</v>
      </c>
      <c r="B58" s="145" t="s">
        <v>253</v>
      </c>
      <c r="C58" s="145" t="s">
        <v>254</v>
      </c>
      <c r="D58" s="145" t="s">
        <v>519</v>
      </c>
      <c r="E58" s="1294"/>
      <c r="F58" s="1294"/>
      <c r="G58" s="1294"/>
      <c r="H58" s="1294"/>
      <c r="I58" s="1295"/>
      <c r="J58" s="145"/>
      <c r="K58" s="145"/>
      <c r="L58" s="346"/>
      <c r="M58" s="290"/>
      <c r="N58" s="290"/>
      <c r="O58" s="290"/>
      <c r="P58" s="1297"/>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252</v>
      </c>
      <c r="B59" s="145" t="s">
        <v>253</v>
      </c>
      <c r="C59" s="145" t="s">
        <v>254</v>
      </c>
      <c r="D59" s="145" t="s">
        <v>519</v>
      </c>
      <c r="E59" s="1294"/>
      <c r="F59" s="1294"/>
      <c r="G59" s="1294"/>
      <c r="H59" s="1293"/>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252</v>
      </c>
      <c r="B60" s="145" t="s">
        <v>253</v>
      </c>
      <c r="C60" s="145" t="s">
        <v>254</v>
      </c>
      <c r="D60" s="145"/>
      <c r="E60" s="1294"/>
      <c r="F60" s="1294"/>
      <c r="G60" s="1293"/>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252</v>
      </c>
      <c r="B61" s="145" t="s">
        <v>253</v>
      </c>
      <c r="C61" s="145"/>
      <c r="D61" s="145"/>
      <c r="E61" s="1294"/>
      <c r="F61" s="1293"/>
      <c r="G61" s="145"/>
      <c r="H61" s="145"/>
      <c r="I61" s="145"/>
      <c r="J61" s="145"/>
      <c r="K61" s="145"/>
      <c r="L61" s="346"/>
      <c r="M61" s="759"/>
      <c r="N61" s="759"/>
      <c r="P61" s="104"/>
      <c r="Q61" s="755"/>
      <c r="R61" s="104"/>
      <c r="S61" s="760"/>
      <c r="T61" s="762" t="s">
        <v>421</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252</v>
      </c>
      <c r="B62" s="145"/>
      <c r="C62" s="145"/>
      <c r="D62" s="145"/>
      <c r="E62" s="1293"/>
      <c r="F62" s="145"/>
      <c r="G62" s="145"/>
      <c r="H62" s="145"/>
      <c r="I62" s="145"/>
      <c r="J62" s="145"/>
      <c r="K62" s="145"/>
      <c r="L62" s="346"/>
      <c r="M62" s="759"/>
      <c r="N62" s="759"/>
      <c r="P62" s="104"/>
      <c r="Q62" s="755"/>
      <c r="R62" s="104"/>
      <c r="S62" s="760"/>
      <c r="T62" s="762" t="s">
        <v>422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450</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92"/>
      <c r="U65" s="1292"/>
      <c r="V65" s="1292"/>
      <c r="W65" s="1292"/>
      <c r="X65" s="1292"/>
      <c r="Y65" s="1292"/>
      <c r="Z65" s="1292"/>
      <c r="AA65" s="1292"/>
      <c r="AB65" s="1292"/>
      <c r="AC65" s="1292"/>
      <c r="AD65" s="1292"/>
      <c r="AE65" s="1292"/>
      <c r="AF65" s="1292"/>
      <c r="AG65" s="1292"/>
      <c r="AH65" s="1292"/>
      <c r="AI65" s="1292"/>
      <c r="AJ65" s="1292"/>
      <c r="AK65" s="1292"/>
      <c r="AL65" s="1292"/>
      <c r="AM65" s="1292"/>
      <c r="AN65" s="1292"/>
      <c r="AO65" s="1292"/>
      <c r="AP65" s="1292"/>
      <c r="AQ65" s="1292"/>
      <c r="AR65" s="1292"/>
      <c r="AS65" s="1292"/>
      <c r="AT65" s="1292"/>
      <c r="AU65" s="1292"/>
      <c r="AV65" s="1292"/>
      <c r="AW65" s="1292"/>
      <c r="AX65" s="1292"/>
      <c r="AY65" s="1292"/>
      <c r="AZ65" s="1292"/>
      <c r="BA65" s="1292"/>
      <c r="BB65" s="1292"/>
      <c r="BC65" s="1292"/>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92"/>
      <c r="U67" s="1292"/>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R67" s="1292"/>
      <c r="AS67" s="1292"/>
      <c r="AT67" s="1292"/>
      <c r="AU67" s="1292"/>
      <c r="AV67" s="1292"/>
      <c r="AW67" s="1292"/>
      <c r="AX67" s="1292"/>
      <c r="AY67" s="1292"/>
      <c r="AZ67" s="1292"/>
      <c r="BA67" s="1292"/>
      <c r="BB67" s="1292"/>
      <c r="BC67" s="1292"/>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404</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520</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521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487</v>
      </c>
      <c r="U5" s="171"/>
      <c r="V5" s="1364"/>
      <c r="W5" s="1365"/>
      <c r="X5" s="1365"/>
      <c r="Y5" s="1365"/>
      <c r="Z5" s="1365"/>
      <c r="AA5" s="1365"/>
      <c r="AB5" s="1366"/>
      <c r="AC5" s="1367"/>
      <c r="AD5" s="1368"/>
      <c r="AE5" s="1368"/>
      <c r="AF5" s="1368"/>
      <c r="AG5" s="1368"/>
      <c r="AH5" s="1368"/>
      <c r="AI5" s="1368"/>
      <c r="AJ5" s="1369"/>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412</v>
      </c>
      <c r="P6" s="1297"/>
      <c r="Q6" s="1297">
        <v>1</v>
      </c>
      <c r="R6" s="209"/>
      <c r="S6" s="709" t="e">
        <f>$J6</f>
        <v>#N/A</v>
      </c>
      <c r="T6" s="165" t="s">
        <v>413</v>
      </c>
      <c r="U6" s="171"/>
      <c r="V6" s="1281"/>
      <c r="W6" s="1282"/>
      <c r="X6" s="1282"/>
      <c r="Y6" s="1282"/>
      <c r="Z6" s="1282"/>
      <c r="AA6" s="1282"/>
      <c r="AB6" s="1283"/>
      <c r="AC6" s="1281"/>
      <c r="AD6" s="1282"/>
      <c r="AE6" s="1282"/>
      <c r="AF6" s="1282"/>
      <c r="AG6" s="1282"/>
      <c r="AH6" s="1282"/>
      <c r="AI6" s="1282"/>
      <c r="AJ6" s="1283"/>
      <c r="AK6" s="753" t="s">
        <v>489</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421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422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423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424</v>
      </c>
      <c r="P20" s="506"/>
      <c r="Q20" s="815"/>
      <c r="R20" s="815"/>
      <c r="S20" s="426"/>
      <c r="T20" s="63" t="s">
        <v>425</v>
      </c>
      <c r="Z20" s="82" t="s">
        <v>426</v>
      </c>
      <c r="AB20" s="82" t="s">
        <v>427</v>
      </c>
      <c r="AC20" s="63" t="s">
        <v>425</v>
      </c>
      <c r="AG20" s="82" t="s">
        <v>428</v>
      </c>
      <c r="AI20" s="82" t="s">
        <v>427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306</v>
      </c>
      <c r="T36" s="1159"/>
      <c r="U36" s="1159"/>
      <c r="V36" s="1159"/>
      <c r="W36" s="1159"/>
      <c r="X36" s="1159"/>
      <c r="Y36" s="1159"/>
      <c r="Z36" s="1159"/>
      <c r="AA36" s="1159"/>
      <c r="AB36" s="1159"/>
      <c r="AC36" s="1159"/>
      <c r="AD36" s="1159"/>
      <c r="AE36" s="1159"/>
      <c r="AF36" s="1159"/>
      <c r="AG36" s="1159"/>
      <c r="AH36" s="1159"/>
      <c r="AI36" s="1159"/>
      <c r="AJ36" s="1159"/>
      <c r="AK36" s="1159" t="s">
        <v>307</v>
      </c>
      <c r="AQ36" s="11">
        <v>14</v>
      </c>
    </row>
    <row r="37" spans="1:43" ht="14.65" customHeight="1">
      <c r="Q37" s="28"/>
      <c r="R37" s="28"/>
      <c r="S37" s="1306" t="s">
        <v>88</v>
      </c>
      <c r="T37" s="1254" t="s">
        <v>430</v>
      </c>
      <c r="U37" s="172"/>
      <c r="V37" s="1307" t="s">
        <v>431</v>
      </c>
      <c r="W37" s="1308"/>
      <c r="X37" s="1308"/>
      <c r="Y37" s="1308"/>
      <c r="Z37" s="1308"/>
      <c r="AA37" s="1309"/>
      <c r="AB37" s="1310" t="s">
        <v>432</v>
      </c>
      <c r="AC37" s="1307" t="s">
        <v>431</v>
      </c>
      <c r="AD37" s="1308"/>
      <c r="AE37" s="1308"/>
      <c r="AF37" s="1308"/>
      <c r="AG37" s="1308"/>
      <c r="AH37" s="1309"/>
      <c r="AI37" s="1310" t="s">
        <v>433</v>
      </c>
      <c r="AJ37" s="1313" t="s">
        <v>434</v>
      </c>
      <c r="AK37" s="1159"/>
      <c r="AQ37" s="11">
        <v>14</v>
      </c>
    </row>
    <row r="38" spans="1:43" ht="35.65" customHeight="1">
      <c r="Q38" s="28"/>
      <c r="R38" s="28"/>
      <c r="S38" s="1306"/>
      <c r="T38" s="1254"/>
      <c r="U38" s="607"/>
      <c r="V38" s="340" t="s">
        <v>493</v>
      </c>
      <c r="W38" s="1123" t="s">
        <v>437</v>
      </c>
      <c r="X38" s="1"/>
      <c r="Y38" s="1123" t="s">
        <v>438</v>
      </c>
      <c r="Z38" s="1146"/>
      <c r="AA38" s="1"/>
      <c r="AB38" s="1311"/>
      <c r="AC38" s="340" t="s">
        <v>493</v>
      </c>
      <c r="AD38" s="1123" t="s">
        <v>437</v>
      </c>
      <c r="AE38" s="1"/>
      <c r="AF38" s="1123" t="s">
        <v>438</v>
      </c>
      <c r="AG38" s="1146"/>
      <c r="AH38" s="1"/>
      <c r="AI38" s="1311"/>
      <c r="AJ38" s="1314"/>
      <c r="AK38" s="1159"/>
      <c r="AQ38" s="11">
        <v>34</v>
      </c>
    </row>
    <row r="39" spans="1:43" ht="90.4" customHeight="1">
      <c r="A39" s="82"/>
      <c r="B39" s="82" t="s">
        <v>143</v>
      </c>
      <c r="C39" s="82" t="s">
        <v>144</v>
      </c>
      <c r="D39" s="82" t="s">
        <v>145</v>
      </c>
      <c r="E39" s="770" t="s">
        <v>439</v>
      </c>
      <c r="F39" s="770" t="s">
        <v>440</v>
      </c>
      <c r="G39" s="770" t="s">
        <v>441</v>
      </c>
      <c r="H39" s="770"/>
      <c r="I39" s="770" t="s">
        <v>494</v>
      </c>
      <c r="J39" s="770" t="s">
        <v>444</v>
      </c>
      <c r="K39" s="770" t="s">
        <v>495</v>
      </c>
      <c r="L39" s="770" t="s">
        <v>424</v>
      </c>
      <c r="Q39" s="28"/>
      <c r="R39" s="28"/>
      <c r="S39" s="1306"/>
      <c r="T39" s="1254"/>
      <c r="U39" s="173"/>
      <c r="V39" s="340" t="s">
        <v>522</v>
      </c>
      <c r="W39" s="39" t="s">
        <v>523</v>
      </c>
      <c r="X39" s="39" t="s">
        <v>498</v>
      </c>
      <c r="Y39" s="39" t="s">
        <v>448</v>
      </c>
      <c r="Z39" s="1259" t="s">
        <v>449</v>
      </c>
      <c r="AA39" s="1273"/>
      <c r="AB39" s="1312"/>
      <c r="AC39" s="340" t="s">
        <v>522</v>
      </c>
      <c r="AD39" s="39" t="s">
        <v>523</v>
      </c>
      <c r="AE39" s="39" t="s">
        <v>498</v>
      </c>
      <c r="AF39" s="39" t="s">
        <v>448</v>
      </c>
      <c r="AG39" s="1259" t="s">
        <v>449</v>
      </c>
      <c r="AH39" s="1273"/>
      <c r="AI39" s="1312"/>
      <c r="AJ39" s="1315"/>
      <c r="AK39" s="1159"/>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272</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131</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272</v>
      </c>
      <c r="B42" s="769" t="s">
        <v>273</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403</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404</v>
      </c>
      <c r="AM42" s="69"/>
      <c r="AN42" s="69" t="str">
        <f t="shared" si="1"/>
        <v>Территория действия тарифа</v>
      </c>
      <c r="AO42" s="69"/>
      <c r="AP42" s="69"/>
      <c r="AQ42" s="11">
        <v>23</v>
      </c>
    </row>
    <row r="43" spans="1:43" ht="24" customHeight="1">
      <c r="A43" s="769" t="s">
        <v>272</v>
      </c>
      <c r="B43" s="769" t="s">
        <v>273</v>
      </c>
      <c r="C43" s="769" t="s">
        <v>274</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520</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521</v>
      </c>
      <c r="AM43" s="69"/>
      <c r="AN43" s="69" t="str">
        <f t="shared" si="1"/>
        <v>Наименование централизованной системы водоотведения</v>
      </c>
      <c r="AO43" s="69"/>
      <c r="AP43" s="69"/>
      <c r="AQ43" s="11">
        <v>23</v>
      </c>
    </row>
    <row r="44" spans="1:43" ht="24" customHeight="1">
      <c r="A44" s="769" t="s">
        <v>272</v>
      </c>
      <c r="B44" s="769" t="s">
        <v>273</v>
      </c>
      <c r="C44" s="769" t="s">
        <v>274</v>
      </c>
      <c r="D44" s="769" t="s">
        <v>524</v>
      </c>
      <c r="E44" s="1294"/>
      <c r="F44" s="1294"/>
      <c r="G44" s="1294"/>
      <c r="H44" s="1294"/>
      <c r="I44" s="1295" t="str">
        <f>S43&amp;".1"</f>
        <v>...1</v>
      </c>
      <c r="J44" s="769"/>
      <c r="K44" s="769"/>
      <c r="L44" s="770"/>
      <c r="P44" s="1297">
        <v>1</v>
      </c>
      <c r="Q44" s="122"/>
      <c r="R44" s="208"/>
      <c r="S44" s="709" t="str">
        <f>$I44</f>
        <v>...1</v>
      </c>
      <c r="T44" s="164" t="s">
        <v>487</v>
      </c>
      <c r="U44" s="171"/>
      <c r="V44" s="1364"/>
      <c r="W44" s="1365"/>
      <c r="X44" s="1365"/>
      <c r="Y44" s="1365"/>
      <c r="Z44" s="1365"/>
      <c r="AA44" s="1365"/>
      <c r="AB44" s="1366"/>
      <c r="AC44" s="1367"/>
      <c r="AD44" s="1368"/>
      <c r="AE44" s="1368"/>
      <c r="AF44" s="1368"/>
      <c r="AG44" s="1368"/>
      <c r="AH44" s="1368"/>
      <c r="AI44" s="1368"/>
      <c r="AJ44" s="1369"/>
      <c r="AK44" s="729" t="s">
        <v>488</v>
      </c>
      <c r="AM44" s="69"/>
      <c r="AN44" s="69" t="str">
        <f t="shared" si="1"/>
        <v>Наименование признака дифференциации</v>
      </c>
      <c r="AO44" s="69"/>
      <c r="AP44" s="69"/>
      <c r="AQ44" s="11">
        <v>23</v>
      </c>
    </row>
    <row r="45" spans="1:43" ht="24" customHeight="1">
      <c r="A45" s="769" t="s">
        <v>272</v>
      </c>
      <c r="B45" s="769" t="s">
        <v>273</v>
      </c>
      <c r="C45" s="769" t="s">
        <v>274</v>
      </c>
      <c r="D45" s="769" t="s">
        <v>524</v>
      </c>
      <c r="E45" s="1294"/>
      <c r="F45" s="1294"/>
      <c r="G45" s="1294"/>
      <c r="H45" s="1294"/>
      <c r="I45" s="1296"/>
      <c r="J45" s="1295" t="str">
        <f>I44&amp;".1"</f>
        <v>...1.1</v>
      </c>
      <c r="K45" s="769"/>
      <c r="L45" s="770" t="s">
        <v>412</v>
      </c>
      <c r="P45" s="1297"/>
      <c r="Q45" s="1297">
        <v>1</v>
      </c>
      <c r="R45" s="209"/>
      <c r="S45" s="709" t="str">
        <f>$J45</f>
        <v>...1.1</v>
      </c>
      <c r="T45" s="165" t="s">
        <v>413</v>
      </c>
      <c r="U45" s="171"/>
      <c r="V45" s="1281"/>
      <c r="W45" s="1282"/>
      <c r="X45" s="1282"/>
      <c r="Y45" s="1282"/>
      <c r="Z45" s="1282"/>
      <c r="AA45" s="1282"/>
      <c r="AB45" s="1283"/>
      <c r="AC45" s="1281"/>
      <c r="AD45" s="1282"/>
      <c r="AE45" s="1282"/>
      <c r="AF45" s="1282"/>
      <c r="AG45" s="1282"/>
      <c r="AH45" s="1282"/>
      <c r="AI45" s="1282"/>
      <c r="AJ45" s="1283"/>
      <c r="AK45" s="753" t="s">
        <v>489</v>
      </c>
      <c r="AM45" s="69"/>
      <c r="AN45" s="69" t="str">
        <f t="shared" si="1"/>
        <v>Группа потребителей</v>
      </c>
      <c r="AO45" s="69"/>
      <c r="AP45" s="69"/>
      <c r="AQ45" s="11">
        <v>23</v>
      </c>
    </row>
    <row r="46" spans="1:43" ht="24" customHeight="1">
      <c r="A46" s="769" t="s">
        <v>272</v>
      </c>
      <c r="B46" s="769" t="s">
        <v>273</v>
      </c>
      <c r="C46" s="769" t="s">
        <v>274</v>
      </c>
      <c r="D46" s="769" t="s">
        <v>524</v>
      </c>
      <c r="E46" s="1294"/>
      <c r="F46" s="1294"/>
      <c r="G46" s="1294"/>
      <c r="H46" s="1294"/>
      <c r="I46" s="1296"/>
      <c r="J46" s="1296"/>
      <c r="K46" s="1295" t="str">
        <f>J45&amp;".1"</f>
        <v>...1.1.1</v>
      </c>
      <c r="L46" s="770"/>
      <c r="P46" s="1297"/>
      <c r="Q46" s="1297"/>
      <c r="R46" s="209">
        <v>1</v>
      </c>
      <c r="S46" s="709" t="str">
        <f>$K46</f>
        <v>...1.1.1</v>
      </c>
      <c r="T46" s="812"/>
      <c r="U46" s="171"/>
      <c r="V46" s="368"/>
      <c r="W46" s="368"/>
      <c r="X46" s="768"/>
      <c r="Y46" s="1291"/>
      <c r="Z46" s="1290" t="s">
        <v>62</v>
      </c>
      <c r="AA46" s="1291"/>
      <c r="AB46" s="1290" t="s">
        <v>62</v>
      </c>
      <c r="AC46" s="306"/>
      <c r="AD46" s="306"/>
      <c r="AE46" s="728"/>
      <c r="AF46" s="1298"/>
      <c r="AG46" s="1169" t="s">
        <v>62</v>
      </c>
      <c r="AH46" s="1300"/>
      <c r="AI46" s="1169" t="s">
        <v>19</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272</v>
      </c>
      <c r="B47" s="769" t="s">
        <v>273</v>
      </c>
      <c r="C47" s="769" t="s">
        <v>274</v>
      </c>
      <c r="D47" s="769" t="s">
        <v>524</v>
      </c>
      <c r="E47" s="1294"/>
      <c r="F47" s="1294"/>
      <c r="G47" s="1294"/>
      <c r="H47" s="1294"/>
      <c r="I47" s="1296"/>
      <c r="J47" s="1296"/>
      <c r="K47" s="1295"/>
      <c r="L47" s="770"/>
      <c r="P47" s="1297"/>
      <c r="Q47" s="1297"/>
      <c r="R47" s="209"/>
      <c r="S47" s="65"/>
      <c r="T47" s="171"/>
      <c r="U47" s="171"/>
      <c r="V47" s="368"/>
      <c r="W47" s="368"/>
      <c r="X47" s="192" t="str">
        <f>Y46&amp;"-"&amp;AA46</f>
        <v>-</v>
      </c>
      <c r="Y47" s="1290"/>
      <c r="Z47" s="1290"/>
      <c r="AA47" s="1290"/>
      <c r="AB47" s="1290"/>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272</v>
      </c>
      <c r="B48" s="769" t="s">
        <v>273</v>
      </c>
      <c r="C48" s="769" t="s">
        <v>274</v>
      </c>
      <c r="D48" s="769" t="s">
        <v>524</v>
      </c>
      <c r="E48" s="1294"/>
      <c r="F48" s="1294"/>
      <c r="G48" s="1294"/>
      <c r="H48" s="1294"/>
      <c r="I48" s="1296"/>
      <c r="J48" s="1295"/>
      <c r="K48" s="769"/>
      <c r="L48" s="770"/>
      <c r="P48" s="1297"/>
      <c r="Q48" s="1297"/>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272</v>
      </c>
      <c r="B49" s="769" t="s">
        <v>273</v>
      </c>
      <c r="C49" s="769" t="s">
        <v>274</v>
      </c>
      <c r="D49" s="769" t="s">
        <v>524</v>
      </c>
      <c r="E49" s="1294"/>
      <c r="F49" s="1294"/>
      <c r="G49" s="1294"/>
      <c r="H49" s="1294"/>
      <c r="I49" s="1295"/>
      <c r="J49" s="769"/>
      <c r="K49" s="769"/>
      <c r="L49" s="770"/>
      <c r="P49" s="1297"/>
      <c r="Q49" s="122"/>
      <c r="R49" s="208"/>
      <c r="S49" s="742"/>
      <c r="T49" s="211" t="s">
        <v>418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272</v>
      </c>
      <c r="B50" s="769" t="s">
        <v>273</v>
      </c>
      <c r="C50" s="769" t="s">
        <v>274</v>
      </c>
      <c r="D50" s="769" t="s">
        <v>524</v>
      </c>
      <c r="E50" s="1294"/>
      <c r="F50" s="1294"/>
      <c r="G50" s="1294"/>
      <c r="H50" s="1293"/>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272</v>
      </c>
      <c r="B51" s="145" t="s">
        <v>273</v>
      </c>
      <c r="C51" s="145"/>
      <c r="D51" s="145"/>
      <c r="E51" s="1294"/>
      <c r="F51" s="1293"/>
      <c r="G51" s="145"/>
      <c r="H51" s="145"/>
      <c r="I51" s="145"/>
      <c r="J51" s="145"/>
      <c r="K51" s="145"/>
      <c r="L51" s="346"/>
      <c r="M51" s="759"/>
      <c r="N51" s="759"/>
      <c r="P51" s="104"/>
      <c r="Q51" s="755"/>
      <c r="R51" s="104"/>
      <c r="S51" s="760"/>
      <c r="T51" s="762" t="s">
        <v>421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272</v>
      </c>
      <c r="B52" s="145"/>
      <c r="C52" s="145"/>
      <c r="D52" s="145"/>
      <c r="E52" s="1293"/>
      <c r="F52" s="145"/>
      <c r="G52" s="145"/>
      <c r="H52" s="145"/>
      <c r="I52" s="145"/>
      <c r="J52" s="145"/>
      <c r="K52" s="145"/>
      <c r="L52" s="346"/>
      <c r="M52" s="759"/>
      <c r="N52" s="759"/>
      <c r="P52" s="104"/>
      <c r="Q52" s="755"/>
      <c r="R52" s="104"/>
      <c r="S52" s="760"/>
      <c r="T52" s="762" t="s">
        <v>422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404</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520</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521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487</v>
      </c>
      <c r="U5" s="171"/>
      <c r="V5" s="1364"/>
      <c r="W5" s="1365"/>
      <c r="X5" s="1365"/>
      <c r="Y5" s="1365"/>
      <c r="Z5" s="1365"/>
      <c r="AA5" s="1365"/>
      <c r="AB5" s="1366"/>
      <c r="AC5" s="1367"/>
      <c r="AD5" s="1368"/>
      <c r="AE5" s="1368"/>
      <c r="AF5" s="1368"/>
      <c r="AG5" s="1368"/>
      <c r="AH5" s="1368"/>
      <c r="AI5" s="1368"/>
      <c r="AJ5" s="1369"/>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412</v>
      </c>
      <c r="P6" s="1297"/>
      <c r="Q6" s="1297">
        <v>1</v>
      </c>
      <c r="R6" s="209"/>
      <c r="S6" s="709" t="e">
        <f>$J6</f>
        <v>#N/A</v>
      </c>
      <c r="T6" s="165" t="s">
        <v>413</v>
      </c>
      <c r="U6" s="171"/>
      <c r="V6" s="1281"/>
      <c r="W6" s="1282"/>
      <c r="X6" s="1282"/>
      <c r="Y6" s="1282"/>
      <c r="Z6" s="1282"/>
      <c r="AA6" s="1282"/>
      <c r="AB6" s="1283"/>
      <c r="AC6" s="1281"/>
      <c r="AD6" s="1282"/>
      <c r="AE6" s="1282"/>
      <c r="AF6" s="1282"/>
      <c r="AG6" s="1282"/>
      <c r="AH6" s="1282"/>
      <c r="AI6" s="1282"/>
      <c r="AJ6" s="1283"/>
      <c r="AK6" s="753" t="s">
        <v>489</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421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422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423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424</v>
      </c>
      <c r="P20" s="506"/>
      <c r="Q20" s="815"/>
      <c r="R20" s="815"/>
      <c r="S20" s="426"/>
      <c r="T20" s="63" t="s">
        <v>425</v>
      </c>
      <c r="Z20" s="82" t="s">
        <v>426</v>
      </c>
      <c r="AB20" s="82" t="s">
        <v>427</v>
      </c>
      <c r="AC20" s="63" t="s">
        <v>425</v>
      </c>
      <c r="AG20" s="82" t="s">
        <v>428</v>
      </c>
      <c r="AI20" s="82" t="s">
        <v>427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306</v>
      </c>
      <c r="T36" s="1159"/>
      <c r="U36" s="1159"/>
      <c r="V36" s="1159"/>
      <c r="W36" s="1159"/>
      <c r="X36" s="1159"/>
      <c r="Y36" s="1159"/>
      <c r="Z36" s="1159"/>
      <c r="AA36" s="1159"/>
      <c r="AB36" s="1159"/>
      <c r="AC36" s="1159"/>
      <c r="AD36" s="1159"/>
      <c r="AE36" s="1159"/>
      <c r="AF36" s="1159"/>
      <c r="AG36" s="1159"/>
      <c r="AH36" s="1159"/>
      <c r="AI36" s="1159"/>
      <c r="AJ36" s="1159"/>
      <c r="AK36" s="1159" t="s">
        <v>307</v>
      </c>
      <c r="AQ36" s="11">
        <v>14</v>
      </c>
    </row>
    <row r="37" spans="1:43" ht="14.65" customHeight="1">
      <c r="Q37" s="28"/>
      <c r="R37" s="28"/>
      <c r="S37" s="1306" t="s">
        <v>88</v>
      </c>
      <c r="T37" s="1254" t="s">
        <v>430</v>
      </c>
      <c r="U37" s="172"/>
      <c r="V37" s="1307" t="s">
        <v>431</v>
      </c>
      <c r="W37" s="1308"/>
      <c r="X37" s="1308"/>
      <c r="Y37" s="1308"/>
      <c r="Z37" s="1308"/>
      <c r="AA37" s="1309"/>
      <c r="AB37" s="1310" t="s">
        <v>432</v>
      </c>
      <c r="AC37" s="1307" t="s">
        <v>431</v>
      </c>
      <c r="AD37" s="1308"/>
      <c r="AE37" s="1308"/>
      <c r="AF37" s="1308"/>
      <c r="AG37" s="1308"/>
      <c r="AH37" s="1309"/>
      <c r="AI37" s="1310" t="s">
        <v>433</v>
      </c>
      <c r="AJ37" s="1313" t="s">
        <v>434</v>
      </c>
      <c r="AK37" s="1159"/>
      <c r="AQ37" s="11">
        <v>14</v>
      </c>
    </row>
    <row r="38" spans="1:43" ht="35.65" customHeight="1">
      <c r="Q38" s="28"/>
      <c r="R38" s="28"/>
      <c r="S38" s="1306"/>
      <c r="T38" s="1254"/>
      <c r="U38" s="607"/>
      <c r="V38" s="340" t="s">
        <v>493</v>
      </c>
      <c r="W38" s="1123" t="s">
        <v>437</v>
      </c>
      <c r="X38" s="1"/>
      <c r="Y38" s="1123" t="s">
        <v>438</v>
      </c>
      <c r="Z38" s="1146"/>
      <c r="AA38" s="1"/>
      <c r="AB38" s="1311"/>
      <c r="AC38" s="340" t="s">
        <v>493</v>
      </c>
      <c r="AD38" s="1123" t="s">
        <v>437</v>
      </c>
      <c r="AE38" s="1"/>
      <c r="AF38" s="1123" t="s">
        <v>438</v>
      </c>
      <c r="AG38" s="1146"/>
      <c r="AH38" s="1"/>
      <c r="AI38" s="1311"/>
      <c r="AJ38" s="1314"/>
      <c r="AK38" s="1159"/>
      <c r="AQ38" s="11">
        <v>34</v>
      </c>
    </row>
    <row r="39" spans="1:43" ht="90.4" customHeight="1">
      <c r="A39" s="82"/>
      <c r="B39" s="82" t="s">
        <v>143</v>
      </c>
      <c r="C39" s="82" t="s">
        <v>144</v>
      </c>
      <c r="D39" s="82" t="s">
        <v>145</v>
      </c>
      <c r="E39" s="770" t="s">
        <v>439</v>
      </c>
      <c r="F39" s="770" t="s">
        <v>440</v>
      </c>
      <c r="G39" s="770" t="s">
        <v>441</v>
      </c>
      <c r="H39" s="770"/>
      <c r="I39" s="770" t="s">
        <v>494</v>
      </c>
      <c r="J39" s="770" t="s">
        <v>444</v>
      </c>
      <c r="K39" s="770" t="s">
        <v>495</v>
      </c>
      <c r="L39" s="770" t="s">
        <v>424</v>
      </c>
      <c r="Q39" s="28"/>
      <c r="R39" s="28"/>
      <c r="S39" s="1306"/>
      <c r="T39" s="1254"/>
      <c r="U39" s="173"/>
      <c r="V39" s="340" t="s">
        <v>522</v>
      </c>
      <c r="W39" s="39" t="s">
        <v>523</v>
      </c>
      <c r="X39" s="39" t="s">
        <v>498</v>
      </c>
      <c r="Y39" s="39" t="s">
        <v>448</v>
      </c>
      <c r="Z39" s="1259" t="s">
        <v>449</v>
      </c>
      <c r="AA39" s="1273"/>
      <c r="AB39" s="1312"/>
      <c r="AC39" s="340" t="s">
        <v>522</v>
      </c>
      <c r="AD39" s="39" t="s">
        <v>523</v>
      </c>
      <c r="AE39" s="39" t="s">
        <v>498</v>
      </c>
      <c r="AF39" s="39" t="s">
        <v>448</v>
      </c>
      <c r="AG39" s="1259" t="s">
        <v>449</v>
      </c>
      <c r="AH39" s="1273"/>
      <c r="AI39" s="1312"/>
      <c r="AJ39" s="1315"/>
      <c r="AK39" s="1159"/>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277</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131</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277</v>
      </c>
      <c r="B42" s="769" t="s">
        <v>278</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403</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404</v>
      </c>
      <c r="AM42" s="69"/>
      <c r="AN42" s="69" t="str">
        <f t="shared" si="1"/>
        <v>Территория действия тарифа</v>
      </c>
      <c r="AO42" s="69"/>
      <c r="AP42" s="69"/>
      <c r="AQ42" s="11">
        <v>23</v>
      </c>
    </row>
    <row r="43" spans="1:43" ht="24" customHeight="1">
      <c r="A43" s="769" t="s">
        <v>277</v>
      </c>
      <c r="B43" s="769" t="s">
        <v>278</v>
      </c>
      <c r="C43" s="769" t="s">
        <v>279</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520</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521</v>
      </c>
      <c r="AM43" s="69"/>
      <c r="AN43" s="69" t="str">
        <f t="shared" si="1"/>
        <v>Наименование централизованной системы водоотведения</v>
      </c>
      <c r="AO43" s="69"/>
      <c r="AP43" s="69"/>
      <c r="AQ43" s="11">
        <v>23</v>
      </c>
    </row>
    <row r="44" spans="1:43" ht="24" customHeight="1">
      <c r="A44" s="769" t="s">
        <v>277</v>
      </c>
      <c r="B44" s="769" t="s">
        <v>278</v>
      </c>
      <c r="C44" s="769" t="s">
        <v>279</v>
      </c>
      <c r="D44" s="769" t="s">
        <v>525</v>
      </c>
      <c r="E44" s="1294"/>
      <c r="F44" s="1294"/>
      <c r="G44" s="1294"/>
      <c r="H44" s="1294"/>
      <c r="I44" s="1295" t="str">
        <f>S43&amp;".1"</f>
        <v>...1</v>
      </c>
      <c r="J44" s="769"/>
      <c r="K44" s="769"/>
      <c r="L44" s="770"/>
      <c r="P44" s="1297">
        <v>1</v>
      </c>
      <c r="Q44" s="122"/>
      <c r="R44" s="208"/>
      <c r="S44" s="709" t="str">
        <f>$I44</f>
        <v>...1</v>
      </c>
      <c r="T44" s="164" t="s">
        <v>487</v>
      </c>
      <c r="U44" s="171"/>
      <c r="V44" s="1364"/>
      <c r="W44" s="1365"/>
      <c r="X44" s="1365"/>
      <c r="Y44" s="1365"/>
      <c r="Z44" s="1365"/>
      <c r="AA44" s="1365"/>
      <c r="AB44" s="1366"/>
      <c r="AC44" s="1367"/>
      <c r="AD44" s="1368"/>
      <c r="AE44" s="1368"/>
      <c r="AF44" s="1368"/>
      <c r="AG44" s="1368"/>
      <c r="AH44" s="1368"/>
      <c r="AI44" s="1368"/>
      <c r="AJ44" s="1369"/>
      <c r="AK44" s="729" t="s">
        <v>488</v>
      </c>
      <c r="AM44" s="69"/>
      <c r="AN44" s="69" t="str">
        <f t="shared" si="1"/>
        <v>Наименование признака дифференциации</v>
      </c>
      <c r="AO44" s="69"/>
      <c r="AP44" s="69"/>
      <c r="AQ44" s="11">
        <v>23</v>
      </c>
    </row>
    <row r="45" spans="1:43" ht="24" customHeight="1">
      <c r="A45" s="769" t="s">
        <v>277</v>
      </c>
      <c r="B45" s="769" t="s">
        <v>278</v>
      </c>
      <c r="C45" s="769" t="s">
        <v>279</v>
      </c>
      <c r="D45" s="769" t="s">
        <v>525</v>
      </c>
      <c r="E45" s="1294"/>
      <c r="F45" s="1294"/>
      <c r="G45" s="1294"/>
      <c r="H45" s="1294"/>
      <c r="I45" s="1296"/>
      <c r="J45" s="1295" t="str">
        <f>I44&amp;".1"</f>
        <v>...1.1</v>
      </c>
      <c r="K45" s="769"/>
      <c r="L45" s="770" t="s">
        <v>412</v>
      </c>
      <c r="P45" s="1297"/>
      <c r="Q45" s="1297">
        <v>1</v>
      </c>
      <c r="R45" s="209"/>
      <c r="S45" s="709" t="str">
        <f>$J45</f>
        <v>...1.1</v>
      </c>
      <c r="T45" s="165" t="s">
        <v>413</v>
      </c>
      <c r="U45" s="171"/>
      <c r="V45" s="1281"/>
      <c r="W45" s="1282"/>
      <c r="X45" s="1282"/>
      <c r="Y45" s="1282"/>
      <c r="Z45" s="1282"/>
      <c r="AA45" s="1282"/>
      <c r="AB45" s="1283"/>
      <c r="AC45" s="1281"/>
      <c r="AD45" s="1282"/>
      <c r="AE45" s="1282"/>
      <c r="AF45" s="1282"/>
      <c r="AG45" s="1282"/>
      <c r="AH45" s="1282"/>
      <c r="AI45" s="1282"/>
      <c r="AJ45" s="1283"/>
      <c r="AK45" s="753" t="s">
        <v>489</v>
      </c>
      <c r="AM45" s="69"/>
      <c r="AN45" s="69" t="str">
        <f t="shared" si="1"/>
        <v>Группа потребителей</v>
      </c>
      <c r="AO45" s="69"/>
      <c r="AP45" s="69"/>
      <c r="AQ45" s="11">
        <v>23</v>
      </c>
    </row>
    <row r="46" spans="1:43" ht="24" customHeight="1">
      <c r="A46" s="769" t="s">
        <v>277</v>
      </c>
      <c r="B46" s="769" t="s">
        <v>278</v>
      </c>
      <c r="C46" s="769" t="s">
        <v>279</v>
      </c>
      <c r="D46" s="769" t="s">
        <v>525</v>
      </c>
      <c r="E46" s="1294"/>
      <c r="F46" s="1294"/>
      <c r="G46" s="1294"/>
      <c r="H46" s="1294"/>
      <c r="I46" s="1296"/>
      <c r="J46" s="1296"/>
      <c r="K46" s="1295" t="str">
        <f>J45&amp;".1"</f>
        <v>...1.1.1</v>
      </c>
      <c r="L46" s="770"/>
      <c r="P46" s="1297"/>
      <c r="Q46" s="1297"/>
      <c r="R46" s="209">
        <v>1</v>
      </c>
      <c r="S46" s="709" t="str">
        <f>$K46</f>
        <v>...1.1.1</v>
      </c>
      <c r="T46" s="812"/>
      <c r="U46" s="171"/>
      <c r="V46" s="368"/>
      <c r="W46" s="368"/>
      <c r="X46" s="768"/>
      <c r="Y46" s="1291"/>
      <c r="Z46" s="1290" t="s">
        <v>62</v>
      </c>
      <c r="AA46" s="1291"/>
      <c r="AB46" s="1290" t="s">
        <v>62</v>
      </c>
      <c r="AC46" s="306"/>
      <c r="AD46" s="306"/>
      <c r="AE46" s="728"/>
      <c r="AF46" s="1298"/>
      <c r="AG46" s="1169" t="s">
        <v>62</v>
      </c>
      <c r="AH46" s="1300"/>
      <c r="AI46" s="1169" t="s">
        <v>19</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277</v>
      </c>
      <c r="B47" s="769" t="s">
        <v>278</v>
      </c>
      <c r="C47" s="769" t="s">
        <v>279</v>
      </c>
      <c r="D47" s="769" t="s">
        <v>525</v>
      </c>
      <c r="E47" s="1294"/>
      <c r="F47" s="1294"/>
      <c r="G47" s="1294"/>
      <c r="H47" s="1294"/>
      <c r="I47" s="1296"/>
      <c r="J47" s="1296"/>
      <c r="K47" s="1295"/>
      <c r="L47" s="770"/>
      <c r="P47" s="1297"/>
      <c r="Q47" s="1297"/>
      <c r="R47" s="209"/>
      <c r="S47" s="65"/>
      <c r="T47" s="171"/>
      <c r="U47" s="171"/>
      <c r="V47" s="368"/>
      <c r="W47" s="368"/>
      <c r="X47" s="192" t="str">
        <f>Y46&amp;"-"&amp;AA46</f>
        <v>-</v>
      </c>
      <c r="Y47" s="1290"/>
      <c r="Z47" s="1290"/>
      <c r="AA47" s="1290"/>
      <c r="AB47" s="1290"/>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277</v>
      </c>
      <c r="B48" s="769" t="s">
        <v>278</v>
      </c>
      <c r="C48" s="769" t="s">
        <v>279</v>
      </c>
      <c r="D48" s="769" t="s">
        <v>525</v>
      </c>
      <c r="E48" s="1294"/>
      <c r="F48" s="1294"/>
      <c r="G48" s="1294"/>
      <c r="H48" s="1294"/>
      <c r="I48" s="1296"/>
      <c r="J48" s="1295"/>
      <c r="K48" s="769"/>
      <c r="L48" s="770"/>
      <c r="P48" s="1297"/>
      <c r="Q48" s="1297"/>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277</v>
      </c>
      <c r="B49" s="769" t="s">
        <v>278</v>
      </c>
      <c r="C49" s="769" t="s">
        <v>279</v>
      </c>
      <c r="D49" s="769" t="s">
        <v>525</v>
      </c>
      <c r="E49" s="1294"/>
      <c r="F49" s="1294"/>
      <c r="G49" s="1294"/>
      <c r="H49" s="1294"/>
      <c r="I49" s="1295"/>
      <c r="J49" s="769"/>
      <c r="K49" s="769"/>
      <c r="L49" s="770"/>
      <c r="P49" s="1297"/>
      <c r="Q49" s="122"/>
      <c r="R49" s="208"/>
      <c r="S49" s="742"/>
      <c r="T49" s="211" t="s">
        <v>418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277</v>
      </c>
      <c r="B50" s="769" t="s">
        <v>278</v>
      </c>
      <c r="C50" s="769" t="s">
        <v>279</v>
      </c>
      <c r="D50" s="769" t="s">
        <v>525</v>
      </c>
      <c r="E50" s="1294"/>
      <c r="F50" s="1294"/>
      <c r="G50" s="1294"/>
      <c r="H50" s="1293"/>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277</v>
      </c>
      <c r="B51" s="145" t="s">
        <v>278</v>
      </c>
      <c r="C51" s="145"/>
      <c r="D51" s="145"/>
      <c r="E51" s="1294"/>
      <c r="F51" s="1293"/>
      <c r="G51" s="145"/>
      <c r="H51" s="145"/>
      <c r="I51" s="145"/>
      <c r="J51" s="145"/>
      <c r="K51" s="145"/>
      <c r="L51" s="346"/>
      <c r="M51" s="759"/>
      <c r="N51" s="759"/>
      <c r="P51" s="104"/>
      <c r="Q51" s="755"/>
      <c r="R51" s="104"/>
      <c r="S51" s="760"/>
      <c r="T51" s="762" t="s">
        <v>421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277</v>
      </c>
      <c r="B52" s="145"/>
      <c r="C52" s="145"/>
      <c r="D52" s="145"/>
      <c r="E52" s="1293"/>
      <c r="F52" s="145"/>
      <c r="G52" s="145"/>
      <c r="H52" s="145"/>
      <c r="I52" s="145"/>
      <c r="J52" s="145"/>
      <c r="K52" s="145"/>
      <c r="L52" s="346"/>
      <c r="M52" s="759"/>
      <c r="N52" s="759"/>
      <c r="P52" s="104"/>
      <c r="Q52" s="755"/>
      <c r="R52" s="104"/>
      <c r="S52" s="760"/>
      <c r="T52" s="762" t="s">
        <v>422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93">
        <v>1</v>
      </c>
      <c r="F2" s="769"/>
      <c r="G2" s="769"/>
      <c r="H2" s="769"/>
      <c r="I2" s="769"/>
      <c r="J2" s="769"/>
      <c r="K2" s="769"/>
      <c r="L2" s="770"/>
      <c r="M2" s="426"/>
      <c r="N2" s="426"/>
      <c r="O2" s="426"/>
      <c r="Q2" s="62"/>
      <c r="R2" s="207"/>
      <c r="S2" s="709" t="e">
        <f>INDEX(PT_DIFFERENTIATION_NUM_NTAR,MATCH(A2,PT_DIFFERENTIATION_NTAR_ID,0))</f>
        <v>#N/A</v>
      </c>
      <c r="T2" s="67" t="s">
        <v>131</v>
      </c>
      <c r="U2" s="171"/>
      <c r="V2" s="1288"/>
      <c r="W2" s="1288"/>
      <c r="X2" s="1288"/>
      <c r="Y2" s="1288"/>
      <c r="Z2" s="1288"/>
      <c r="AA2" s="1288"/>
      <c r="AB2" s="1288"/>
      <c r="AC2" s="1289"/>
      <c r="AD2" s="1287" t="e">
        <f>INDEX(PT_DIFFERENTIATION_NTAR,MATCH(A2,PT_DIFFERENTIATION_NTAR_ID,0))</f>
        <v>#N/A</v>
      </c>
      <c r="AE2" s="1288"/>
      <c r="AF2" s="1288"/>
      <c r="AG2" s="1288"/>
      <c r="AH2" s="1288"/>
      <c r="AI2" s="1288"/>
      <c r="AJ2" s="1288"/>
      <c r="AK2" s="1288"/>
      <c r="AL2" s="1288"/>
      <c r="AM2" s="1288"/>
      <c r="AN2" s="1288"/>
      <c r="AO2" s="1288"/>
      <c r="AP2" s="1288"/>
      <c r="AQ2" s="1288"/>
      <c r="AR2" s="1288"/>
      <c r="AS2" s="1288"/>
      <c r="AT2" s="1288"/>
      <c r="AU2" s="1288"/>
      <c r="AV2" s="1288"/>
      <c r="AW2" s="1288"/>
      <c r="AX2" s="1288"/>
      <c r="AY2" s="1288"/>
      <c r="AZ2" s="1288"/>
      <c r="BA2" s="1288"/>
      <c r="BB2" s="1289"/>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4"/>
      <c r="F3" s="1293">
        <v>1</v>
      </c>
      <c r="G3" s="769"/>
      <c r="H3" s="769"/>
      <c r="I3" s="769"/>
      <c r="J3" s="769"/>
      <c r="K3" s="769"/>
      <c r="L3" s="770"/>
      <c r="M3" s="426"/>
      <c r="N3" s="426"/>
      <c r="O3" s="426"/>
      <c r="P3" s="301"/>
      <c r="Q3" s="802"/>
      <c r="R3" s="205"/>
      <c r="S3" s="709" t="e">
        <f>INDEX(PT_DIFFERENTIATION_NUM_TER,MATCH(B3,PT_DIFFERENTIATION_TER_ID,0))</f>
        <v>#N/A</v>
      </c>
      <c r="T3" s="177" t="s">
        <v>403</v>
      </c>
      <c r="U3" s="171"/>
      <c r="V3" s="1288"/>
      <c r="W3" s="1288"/>
      <c r="X3" s="1288"/>
      <c r="Y3" s="1288"/>
      <c r="Z3" s="1288"/>
      <c r="AA3" s="1288"/>
      <c r="AB3" s="1288"/>
      <c r="AC3" s="1289"/>
      <c r="AD3" s="1287" t="e">
        <f>INDEX(PT_DIFFERENTIATION_TER,MATCH(B3,PT_DIFFERENTIATION_TER_ID,0))</f>
        <v>#N/A</v>
      </c>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9"/>
      <c r="BC3" s="729" t="s">
        <v>404</v>
      </c>
      <c r="BE3" s="69"/>
      <c r="BF3" s="69" t="str">
        <f t="shared" si="0"/>
        <v>Территория действия тарифа</v>
      </c>
      <c r="BG3" s="69"/>
      <c r="BH3" s="69"/>
      <c r="BI3" s="11">
        <v>0</v>
      </c>
    </row>
    <row r="4" spans="1:61" ht="33.75" hidden="1" customHeight="1">
      <c r="A4" s="769"/>
      <c r="B4" s="769"/>
      <c r="C4" s="769"/>
      <c r="D4" s="769"/>
      <c r="E4" s="1294"/>
      <c r="F4" s="1294"/>
      <c r="G4" s="1293">
        <v>1</v>
      </c>
      <c r="H4" s="769"/>
      <c r="I4" s="769"/>
      <c r="J4" s="769"/>
      <c r="K4" s="769"/>
      <c r="L4" s="770"/>
      <c r="M4" s="426"/>
      <c r="N4" s="426"/>
      <c r="O4" s="426"/>
      <c r="P4" s="131"/>
      <c r="Q4" s="802"/>
      <c r="R4" s="205"/>
      <c r="S4" s="709" t="e">
        <f>INDEX(PT_DIFFERENTIATION_NUM_CS,MATCH(C4,PT_DIFFERENTIATION_CS_ID,0))</f>
        <v>#N/A</v>
      </c>
      <c r="T4" s="178" t="s">
        <v>520</v>
      </c>
      <c r="U4" s="171"/>
      <c r="V4" s="1288"/>
      <c r="W4" s="1288"/>
      <c r="X4" s="1288"/>
      <c r="Y4" s="1288"/>
      <c r="Z4" s="1288"/>
      <c r="AA4" s="1288"/>
      <c r="AB4" s="1288"/>
      <c r="AC4" s="1289"/>
      <c r="AD4" s="1287" t="e">
        <f>INDEX(PT_DIFFERENTIATION_CS,MATCH(C4,PT_DIFFERENTIATION_CS_ID,0))</f>
        <v>#N/A</v>
      </c>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9"/>
      <c r="BC4" s="729" t="s">
        <v>521</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94"/>
      <c r="F5" s="1294"/>
      <c r="G5" s="1294"/>
      <c r="H5" s="1293">
        <v>1</v>
      </c>
      <c r="I5" s="145"/>
      <c r="J5" s="145"/>
      <c r="K5" s="145"/>
      <c r="L5" s="346"/>
      <c r="M5" s="293"/>
      <c r="N5" s="293"/>
      <c r="O5" s="293"/>
      <c r="P5" s="820"/>
      <c r="Q5" s="821"/>
      <c r="R5" s="209"/>
      <c r="S5" s="362"/>
      <c r="T5" s="822"/>
      <c r="U5" s="780"/>
      <c r="V5" s="1325"/>
      <c r="W5" s="1325"/>
      <c r="X5" s="1325"/>
      <c r="Y5" s="1325"/>
      <c r="Z5" s="1325"/>
      <c r="AA5" s="1325"/>
      <c r="AB5" s="1325"/>
      <c r="AC5" s="1326"/>
      <c r="AD5" s="1324"/>
      <c r="AE5" s="1325"/>
      <c r="AF5" s="1325"/>
      <c r="AG5" s="1325"/>
      <c r="AH5" s="1325"/>
      <c r="AI5" s="1325"/>
      <c r="AJ5" s="1325"/>
      <c r="AK5" s="1325"/>
      <c r="AL5" s="1325"/>
      <c r="AM5" s="1325"/>
      <c r="AN5" s="1325"/>
      <c r="AO5" s="1325"/>
      <c r="AP5" s="1325"/>
      <c r="AQ5" s="1325"/>
      <c r="AR5" s="1325"/>
      <c r="AS5" s="1325"/>
      <c r="AT5" s="1325"/>
      <c r="AU5" s="1325"/>
      <c r="AV5" s="1325"/>
      <c r="AW5" s="1325"/>
      <c r="AX5" s="1325"/>
      <c r="AY5" s="1325"/>
      <c r="AZ5" s="1325"/>
      <c r="BA5" s="1325"/>
      <c r="BB5" s="1326"/>
      <c r="BC5" s="781" t="s">
        <v>408</v>
      </c>
      <c r="BE5" s="69"/>
      <c r="BF5" s="69" t="str">
        <f t="shared" si="0"/>
        <v/>
      </c>
      <c r="BG5" s="69"/>
      <c r="BH5" s="69"/>
      <c r="BI5" s="68">
        <v>0</v>
      </c>
    </row>
    <row r="6" spans="1:61" s="68" customFormat="1" ht="14.25" hidden="1" customHeight="1">
      <c r="A6" s="145"/>
      <c r="B6" s="145"/>
      <c r="C6" s="145"/>
      <c r="D6" s="145"/>
      <c r="E6" s="1294"/>
      <c r="F6" s="1294"/>
      <c r="G6" s="1294"/>
      <c r="H6" s="1294"/>
      <c r="I6" s="1295" t="str">
        <f>S5&amp;".1"</f>
        <v>.1</v>
      </c>
      <c r="J6" s="145"/>
      <c r="K6" s="145"/>
      <c r="L6" s="346" t="s">
        <v>409</v>
      </c>
      <c r="M6" s="290"/>
      <c r="N6" s="290"/>
      <c r="O6" s="290"/>
      <c r="P6" s="1297">
        <v>1</v>
      </c>
      <c r="Q6" s="122"/>
      <c r="R6" s="208"/>
      <c r="S6" s="362"/>
      <c r="T6" s="779"/>
      <c r="U6" s="780"/>
      <c r="V6" s="1325"/>
      <c r="W6" s="1325"/>
      <c r="X6" s="1325"/>
      <c r="Y6" s="1325"/>
      <c r="Z6" s="1325"/>
      <c r="AA6" s="1325"/>
      <c r="AB6" s="1325"/>
      <c r="AC6" s="1326"/>
      <c r="AD6" s="1324"/>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6"/>
      <c r="BC6" s="781"/>
      <c r="BE6" s="69"/>
      <c r="BF6" s="69" t="str">
        <f t="shared" si="0"/>
        <v/>
      </c>
      <c r="BG6" s="69"/>
      <c r="BH6" s="69"/>
      <c r="BI6" s="68">
        <v>0</v>
      </c>
    </row>
    <row r="7" spans="1:61" s="68" customFormat="1" ht="14.25" hidden="1" customHeight="1">
      <c r="A7" s="145"/>
      <c r="B7" s="145"/>
      <c r="C7" s="145"/>
      <c r="D7" s="145"/>
      <c r="E7" s="1294"/>
      <c r="F7" s="1294"/>
      <c r="G7" s="1294"/>
      <c r="H7" s="1294"/>
      <c r="I7" s="1296"/>
      <c r="J7" s="1295" t="str">
        <f>S5&amp;".1"</f>
        <v>.1</v>
      </c>
      <c r="K7" s="145"/>
      <c r="L7" s="346"/>
      <c r="M7" s="290"/>
      <c r="N7" s="290"/>
      <c r="O7" s="290"/>
      <c r="P7" s="1297"/>
      <c r="Q7" s="1297">
        <v>1</v>
      </c>
      <c r="R7" s="209"/>
      <c r="S7" s="362"/>
      <c r="T7" s="794"/>
      <c r="U7" s="780"/>
      <c r="V7" s="1325"/>
      <c r="W7" s="1325"/>
      <c r="X7" s="1325"/>
      <c r="Y7" s="1325"/>
      <c r="Z7" s="1325"/>
      <c r="AA7" s="1325"/>
      <c r="AB7" s="1325"/>
      <c r="AC7" s="1326"/>
      <c r="AD7" s="1324"/>
      <c r="AE7" s="1325"/>
      <c r="AF7" s="1325"/>
      <c r="AG7" s="1325"/>
      <c r="AH7" s="1325"/>
      <c r="AI7" s="1325"/>
      <c r="AJ7" s="1325"/>
      <c r="AK7" s="1325"/>
      <c r="AL7" s="1325"/>
      <c r="AM7" s="1325"/>
      <c r="AN7" s="1325"/>
      <c r="AO7" s="1325"/>
      <c r="AP7" s="1325"/>
      <c r="AQ7" s="1325"/>
      <c r="AR7" s="1325"/>
      <c r="AS7" s="1325"/>
      <c r="AT7" s="1325"/>
      <c r="AU7" s="1325"/>
      <c r="AV7" s="1325"/>
      <c r="AW7" s="1325"/>
      <c r="AX7" s="1325"/>
      <c r="AY7" s="1325"/>
      <c r="AZ7" s="1325"/>
      <c r="BA7" s="1325"/>
      <c r="BB7" s="1326"/>
      <c r="BC7" s="781"/>
      <c r="BE7" s="69"/>
      <c r="BF7" s="69" t="str">
        <f t="shared" si="0"/>
        <v/>
      </c>
      <c r="BG7" s="69"/>
      <c r="BH7" s="69"/>
      <c r="BI7" s="68">
        <v>0</v>
      </c>
    </row>
    <row r="8" spans="1:61" ht="11.25" hidden="1" customHeight="1">
      <c r="A8" s="769"/>
      <c r="B8" s="769"/>
      <c r="C8" s="769"/>
      <c r="D8" s="769"/>
      <c r="E8" s="1294"/>
      <c r="F8" s="1294"/>
      <c r="G8" s="1294"/>
      <c r="H8" s="1294"/>
      <c r="I8" s="1296"/>
      <c r="J8" s="1296"/>
      <c r="K8" s="1295" t="e">
        <f>S4&amp;".1"</f>
        <v>#N/A</v>
      </c>
      <c r="L8" s="770"/>
      <c r="P8" s="1297"/>
      <c r="Q8" s="1297"/>
      <c r="R8" s="1353">
        <v>1</v>
      </c>
      <c r="S8" s="1350" t="e">
        <f>$K8</f>
        <v>#N/A</v>
      </c>
      <c r="T8" s="1372"/>
      <c r="U8" s="171"/>
      <c r="V8" s="306"/>
      <c r="W8" s="728"/>
      <c r="X8" s="306"/>
      <c r="Y8" s="728"/>
      <c r="Z8" s="943"/>
      <c r="AA8" s="297" t="s">
        <v>62</v>
      </c>
      <c r="AB8" s="943"/>
      <c r="AC8" s="297" t="s">
        <v>62</v>
      </c>
      <c r="AD8" s="1237" t="s">
        <v>62</v>
      </c>
      <c r="AE8" s="1346"/>
      <c r="AF8" s="1250">
        <v>1</v>
      </c>
      <c r="AG8" s="1371"/>
      <c r="AH8" s="1169" t="s">
        <v>62</v>
      </c>
      <c r="AI8" s="1346"/>
      <c r="AJ8" s="1250">
        <v>1</v>
      </c>
      <c r="AK8" s="1360" t="s">
        <v>22</v>
      </c>
      <c r="AL8" s="1169" t="s">
        <v>62</v>
      </c>
      <c r="AM8" s="1225"/>
      <c r="AN8" s="1250">
        <v>1</v>
      </c>
      <c r="AO8" s="1375"/>
      <c r="AP8" s="1376" t="s">
        <v>62</v>
      </c>
      <c r="AQ8" s="180"/>
      <c r="AR8" s="268">
        <v>1</v>
      </c>
      <c r="AS8" s="119" t="s">
        <v>22</v>
      </c>
      <c r="AT8" s="306"/>
      <c r="AU8" s="728"/>
      <c r="AV8" s="306"/>
      <c r="AW8" s="728"/>
      <c r="AX8" s="943"/>
      <c r="AY8" s="297" t="s">
        <v>62</v>
      </c>
      <c r="AZ8" s="943"/>
      <c r="BA8" s="297" t="s">
        <v>62</v>
      </c>
      <c r="BB8" s="766"/>
      <c r="BC8" s="1316" t="s">
        <v>503</v>
      </c>
      <c r="BE8" s="69"/>
      <c r="BF8" s="69" t="str">
        <f t="shared" si="0"/>
        <v/>
      </c>
      <c r="BG8" s="69"/>
      <c r="BH8" s="69"/>
      <c r="BI8" s="11">
        <v>0</v>
      </c>
    </row>
    <row r="9" spans="1:61" ht="11.25" hidden="1" customHeight="1">
      <c r="A9" s="769"/>
      <c r="B9" s="769"/>
      <c r="C9" s="769"/>
      <c r="D9" s="769"/>
      <c r="E9" s="1294"/>
      <c r="F9" s="1294"/>
      <c r="G9" s="1294"/>
      <c r="H9" s="1294"/>
      <c r="I9" s="1296"/>
      <c r="J9" s="1296"/>
      <c r="K9" s="1295"/>
      <c r="L9" s="770"/>
      <c r="P9" s="1297"/>
      <c r="Q9" s="1297"/>
      <c r="R9" s="1353"/>
      <c r="S9" s="1351"/>
      <c r="T9" s="1373"/>
      <c r="U9" s="171"/>
      <c r="V9" s="789"/>
      <c r="W9" s="819"/>
      <c r="X9" s="789"/>
      <c r="Y9" s="819"/>
      <c r="Z9" s="789"/>
      <c r="AA9" s="789"/>
      <c r="AB9" s="789"/>
      <c r="AC9" s="789"/>
      <c r="AD9" s="1238"/>
      <c r="AE9" s="1346"/>
      <c r="AF9" s="1250"/>
      <c r="AG9" s="1371"/>
      <c r="AH9" s="1169"/>
      <c r="AI9" s="1346"/>
      <c r="AJ9" s="1250"/>
      <c r="AK9" s="1360"/>
      <c r="AL9" s="1169"/>
      <c r="AM9" s="1230"/>
      <c r="AN9" s="1250"/>
      <c r="AO9" s="1375"/>
      <c r="AP9" s="1377"/>
      <c r="AQ9" s="184"/>
      <c r="AR9" s="52"/>
      <c r="AS9" s="52" t="s">
        <v>504</v>
      </c>
      <c r="AT9" s="789"/>
      <c r="AU9" s="819"/>
      <c r="AV9" s="789"/>
      <c r="AW9" s="819"/>
      <c r="AX9" s="789"/>
      <c r="AY9" s="789"/>
      <c r="AZ9" s="789"/>
      <c r="BA9" s="789"/>
      <c r="BB9" s="793"/>
      <c r="BC9" s="1317"/>
      <c r="BE9" s="69"/>
      <c r="BF9" s="69"/>
      <c r="BG9" s="69"/>
      <c r="BH9" s="69"/>
      <c r="BI9" s="11">
        <v>0</v>
      </c>
    </row>
    <row r="10" spans="1:61" ht="11.25" hidden="1" customHeight="1">
      <c r="A10" s="769"/>
      <c r="B10" s="769"/>
      <c r="C10" s="769"/>
      <c r="D10" s="769"/>
      <c r="E10" s="1294"/>
      <c r="F10" s="1294"/>
      <c r="G10" s="1294"/>
      <c r="H10" s="1294"/>
      <c r="I10" s="1296"/>
      <c r="J10" s="1296"/>
      <c r="K10" s="1295"/>
      <c r="L10" s="770"/>
      <c r="P10" s="1297"/>
      <c r="Q10" s="1297"/>
      <c r="R10" s="1353"/>
      <c r="S10" s="1351"/>
      <c r="T10" s="1373"/>
      <c r="U10" s="171"/>
      <c r="V10" s="789"/>
      <c r="W10" s="819"/>
      <c r="X10" s="789"/>
      <c r="Y10" s="819"/>
      <c r="Z10" s="789"/>
      <c r="AA10" s="789"/>
      <c r="AB10" s="789"/>
      <c r="AC10" s="789"/>
      <c r="AD10" s="1238"/>
      <c r="AE10" s="1346"/>
      <c r="AF10" s="1250"/>
      <c r="AG10" s="1371"/>
      <c r="AH10" s="1169"/>
      <c r="AI10" s="1346"/>
      <c r="AJ10" s="1250"/>
      <c r="AK10" s="1360"/>
      <c r="AL10" s="1169"/>
      <c r="AM10" s="184"/>
      <c r="AN10" s="823"/>
      <c r="AO10" s="823" t="s">
        <v>526</v>
      </c>
      <c r="AP10" s="52"/>
      <c r="AQ10" s="52"/>
      <c r="AR10" s="52"/>
      <c r="AS10" s="789"/>
      <c r="AT10" s="789"/>
      <c r="AU10" s="819"/>
      <c r="AV10" s="789"/>
      <c r="AW10" s="819"/>
      <c r="AX10" s="789"/>
      <c r="AY10" s="789"/>
      <c r="AZ10" s="789"/>
      <c r="BA10" s="789"/>
      <c r="BB10" s="793"/>
      <c r="BC10" s="1317"/>
      <c r="BE10" s="69"/>
      <c r="BF10" s="69"/>
      <c r="BG10" s="69"/>
      <c r="BH10" s="69"/>
      <c r="BI10" s="11">
        <v>0</v>
      </c>
    </row>
    <row r="11" spans="1:61" ht="11.25" hidden="1" customHeight="1">
      <c r="A11" s="769"/>
      <c r="B11" s="769"/>
      <c r="C11" s="769"/>
      <c r="D11" s="769"/>
      <c r="E11" s="1294"/>
      <c r="F11" s="1294"/>
      <c r="G11" s="1294"/>
      <c r="H11" s="1294"/>
      <c r="I11" s="1296"/>
      <c r="J11" s="1296"/>
      <c r="K11" s="1295"/>
      <c r="L11" s="770"/>
      <c r="P11" s="1297"/>
      <c r="Q11" s="1297"/>
      <c r="R11" s="1353"/>
      <c r="S11" s="1351"/>
      <c r="T11" s="1373"/>
      <c r="U11" s="171"/>
      <c r="V11" s="789"/>
      <c r="W11" s="819"/>
      <c r="X11" s="789"/>
      <c r="Y11" s="819"/>
      <c r="Z11" s="789"/>
      <c r="AA11" s="789"/>
      <c r="AB11" s="789"/>
      <c r="AC11" s="789"/>
      <c r="AD11" s="1238"/>
      <c r="AE11" s="1346"/>
      <c r="AF11" s="1250"/>
      <c r="AG11" s="1371"/>
      <c r="AH11" s="1169"/>
      <c r="AI11" s="169"/>
      <c r="AJ11" s="110"/>
      <c r="AK11" s="182" t="s">
        <v>527</v>
      </c>
      <c r="AL11" s="789"/>
      <c r="AM11" s="789"/>
      <c r="AN11" s="789"/>
      <c r="AO11" s="789"/>
      <c r="AP11" s="789"/>
      <c r="AQ11" s="789"/>
      <c r="AR11" s="789"/>
      <c r="AS11" s="789"/>
      <c r="AT11" s="789"/>
      <c r="AU11" s="819"/>
      <c r="AV11" s="789"/>
      <c r="AW11" s="819"/>
      <c r="AX11" s="789"/>
      <c r="AY11" s="789"/>
      <c r="AZ11" s="789"/>
      <c r="BA11" s="789"/>
      <c r="BB11" s="793"/>
      <c r="BC11" s="1317"/>
      <c r="BE11" s="69"/>
      <c r="BF11" s="69"/>
      <c r="BG11" s="69"/>
      <c r="BH11" s="69"/>
      <c r="BI11" s="11">
        <v>0</v>
      </c>
    </row>
    <row r="12" spans="1:61" ht="11.25" hidden="1" customHeight="1">
      <c r="A12" s="769"/>
      <c r="B12" s="769"/>
      <c r="C12" s="769"/>
      <c r="D12" s="769"/>
      <c r="E12" s="1294"/>
      <c r="F12" s="1294"/>
      <c r="G12" s="1294"/>
      <c r="H12" s="1294"/>
      <c r="I12" s="1296"/>
      <c r="J12" s="1296"/>
      <c r="K12" s="1295"/>
      <c r="L12" s="770"/>
      <c r="P12" s="1297"/>
      <c r="Q12" s="1297"/>
      <c r="R12" s="1353"/>
      <c r="S12" s="1352"/>
      <c r="T12" s="1374"/>
      <c r="U12" s="171"/>
      <c r="V12" s="789"/>
      <c r="W12" s="790" t="str">
        <f>Z8&amp;"-"&amp;AB8</f>
        <v>-</v>
      </c>
      <c r="X12" s="789"/>
      <c r="Y12" s="790" t="str">
        <f>AB8&amp;"-"&amp;AD8</f>
        <v>-да</v>
      </c>
      <c r="Z12" s="789"/>
      <c r="AA12" s="789"/>
      <c r="AB12" s="789"/>
      <c r="AC12" s="789"/>
      <c r="AD12" s="1174"/>
      <c r="AE12" s="181"/>
      <c r="AF12" s="183"/>
      <c r="AG12" s="52" t="s">
        <v>507</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7"/>
      <c r="BE12" s="69"/>
      <c r="BF12" s="69" t="str">
        <f t="shared" ref="BF12:BF18" si="1">IF(T12="","",T12)</f>
        <v/>
      </c>
      <c r="BG12" s="69"/>
      <c r="BH12" s="69"/>
      <c r="BI12" s="11">
        <v>0</v>
      </c>
    </row>
    <row r="13" spans="1:61" ht="11.25" hidden="1" customHeight="1">
      <c r="A13" s="769"/>
      <c r="B13" s="769"/>
      <c r="C13" s="769"/>
      <c r="D13" s="769"/>
      <c r="E13" s="1294"/>
      <c r="F13" s="1294"/>
      <c r="G13" s="1294"/>
      <c r="H13" s="1294"/>
      <c r="I13" s="1296"/>
      <c r="J13" s="1295"/>
      <c r="K13" s="769"/>
      <c r="L13" s="770"/>
      <c r="P13" s="1297"/>
      <c r="Q13" s="1297"/>
      <c r="R13" s="208"/>
      <c r="S13" s="742"/>
      <c r="T13" s="166" t="s">
        <v>470</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18"/>
      <c r="BE13" s="69"/>
      <c r="BF13" s="69" t="str">
        <f t="shared" si="1"/>
        <v>Добавить строку</v>
      </c>
      <c r="BG13" s="69"/>
      <c r="BH13" s="69"/>
      <c r="BI13" s="11">
        <v>0</v>
      </c>
    </row>
    <row r="14" spans="1:61" s="68" customFormat="1" ht="14.25" hidden="1" customHeight="1">
      <c r="A14" s="145"/>
      <c r="B14" s="145"/>
      <c r="C14" s="145"/>
      <c r="D14" s="145"/>
      <c r="E14" s="1294"/>
      <c r="F14" s="1294"/>
      <c r="G14" s="1294"/>
      <c r="H14" s="1294"/>
      <c r="I14" s="1295"/>
      <c r="J14" s="145"/>
      <c r="K14" s="145"/>
      <c r="L14" s="346"/>
      <c r="M14" s="290"/>
      <c r="N14" s="290"/>
      <c r="O14" s="290"/>
      <c r="P14" s="1297"/>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4"/>
      <c r="F15" s="1294"/>
      <c r="G15" s="1294"/>
      <c r="H15" s="1293"/>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4"/>
      <c r="F16" s="1294"/>
      <c r="G16" s="1293"/>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4"/>
      <c r="F17" s="1293"/>
      <c r="G17" s="145"/>
      <c r="H17" s="145"/>
      <c r="I17" s="145"/>
      <c r="J17" s="145"/>
      <c r="K17" s="145"/>
      <c r="L17" s="346"/>
      <c r="M17" s="759"/>
      <c r="N17" s="759"/>
      <c r="P17" s="104"/>
      <c r="Q17" s="755"/>
      <c r="R17" s="104"/>
      <c r="S17" s="760"/>
      <c r="T17" s="762" t="s">
        <v>421</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3"/>
      <c r="F18" s="145"/>
      <c r="G18" s="145"/>
      <c r="H18" s="145"/>
      <c r="I18" s="145"/>
      <c r="J18" s="145"/>
      <c r="K18" s="145"/>
      <c r="L18" s="346"/>
      <c r="M18" s="759"/>
      <c r="N18" s="759"/>
      <c r="P18" s="104"/>
      <c r="Q18" s="755"/>
      <c r="R18" s="104"/>
      <c r="S18" s="760"/>
      <c r="T18" s="762" t="s">
        <v>422</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423</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424</v>
      </c>
      <c r="P24" s="830"/>
      <c r="Q24" s="831"/>
      <c r="R24" s="831"/>
      <c r="AA24" s="829" t="s">
        <v>426</v>
      </c>
      <c r="AC24" s="829" t="s">
        <v>427</v>
      </c>
      <c r="AD24" s="829" t="s">
        <v>471</v>
      </c>
      <c r="AH24" s="829" t="s">
        <v>471</v>
      </c>
      <c r="AK24" s="829" t="s">
        <v>508</v>
      </c>
      <c r="AL24" s="829" t="s">
        <v>471</v>
      </c>
      <c r="AP24" s="829" t="s">
        <v>471</v>
      </c>
      <c r="AY24" s="829" t="s">
        <v>426</v>
      </c>
      <c r="BA24" s="829" t="s">
        <v>427</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59"/>
      <c r="BI28" s="11">
        <v>14</v>
      </c>
    </row>
    <row r="29" spans="1:61" ht="14.65" customHeight="1">
      <c r="Q29" s="168"/>
      <c r="R29" s="28"/>
      <c r="S29" s="1246" t="str">
        <f>IF(org=0,"Не определено",org)</f>
        <v>Сургутское городское муниципальное унитарное предприятие "Горводоканал"</v>
      </c>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1284"/>
      <c r="U31" s="773"/>
      <c r="V31" s="1286" t="str">
        <f>IF(TITLE_NAME_OR_PR_CHANGE="",IF(TITLE_NAME_OR_PR="","",TITLE_NAME_OR_PR),TITLE_NAME_OR_PR_CHANGE)</f>
        <v/>
      </c>
      <c r="W31" s="1286"/>
      <c r="X31" s="1286"/>
      <c r="Y31" s="1286"/>
      <c r="Z31" s="1286"/>
      <c r="AA31" s="1286"/>
      <c r="AB31" s="1286"/>
      <c r="AC31" s="11"/>
      <c r="AD31" s="1286" t="str">
        <f>IF(TITLE_NAME_OR_PR_CHANGE="",IF(TITLE_NAME_OR_PR="","",TITLE_NAME_OR_PR),TITLE_NAME_OR_PR_CHANGE)</f>
        <v/>
      </c>
      <c r="AE31" s="1286"/>
      <c r="AF31" s="1286"/>
      <c r="AG31" s="1286"/>
      <c r="AH31" s="1286"/>
      <c r="AI31" s="1286"/>
      <c r="AJ31" s="1286"/>
      <c r="AK31" s="1286"/>
      <c r="AL31" s="1286"/>
      <c r="AM31" s="1286"/>
      <c r="AN31" s="1286"/>
      <c r="AO31" s="1286"/>
      <c r="AP31" s="1286"/>
      <c r="AQ31" s="1286"/>
      <c r="AR31" s="1286"/>
      <c r="AS31" s="1286"/>
      <c r="AT31" s="1286"/>
      <c r="AU31" s="1286"/>
      <c r="AV31" s="1286"/>
      <c r="AW31" s="1286"/>
      <c r="AX31" s="1286"/>
      <c r="AY31" s="1286"/>
      <c r="AZ31" s="1286"/>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84" t="str">
        <f>"Дата документа об "&amp;IF(TITLE_DATE_PR_CHANGE="","утверждении","изменении")&amp;" тарифов"</f>
        <v>Дата документа об утверждении тарифов</v>
      </c>
      <c r="T32" s="1284"/>
      <c r="U32" s="773"/>
      <c r="V32" s="1285" t="str">
        <f>IF(TITLE_DATE_PR_CHANGE="",IF(TITLE_DATE_PR="","",TITLE_DATE_PR),TITLE_DATE_PR_CHANGE)</f>
        <v/>
      </c>
      <c r="W32" s="1285"/>
      <c r="X32" s="1285"/>
      <c r="Y32" s="1285"/>
      <c r="Z32" s="1285"/>
      <c r="AA32" s="1285"/>
      <c r="AB32" s="1285"/>
      <c r="AC32" s="11"/>
      <c r="AD32" s="1285" t="str">
        <f>IF(TITLE_DATE_PR_CHANGE="",IF(TITLE_DATE_PR="","",TITLE_DATE_PR),TITLE_DATE_PR_CHANGE)</f>
        <v/>
      </c>
      <c r="AE32" s="1285"/>
      <c r="AF32" s="1285"/>
      <c r="AG32" s="1285"/>
      <c r="AH32" s="1285"/>
      <c r="AI32" s="1285"/>
      <c r="AJ32" s="1285"/>
      <c r="AK32" s="1285"/>
      <c r="AL32" s="1285"/>
      <c r="AM32" s="1285"/>
      <c r="AN32" s="1285"/>
      <c r="AO32" s="1285"/>
      <c r="AP32" s="1285"/>
      <c r="AQ32" s="1285"/>
      <c r="AR32" s="1285"/>
      <c r="AS32" s="1285"/>
      <c r="AT32" s="1285"/>
      <c r="AU32" s="1285"/>
      <c r="AV32" s="1285"/>
      <c r="AW32" s="1285"/>
      <c r="AX32" s="1285"/>
      <c r="AY32" s="1285"/>
      <c r="AZ32" s="1285"/>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84" t="str">
        <f>"Номер документа об "&amp;IF(TITLE_DATE_PR_CHANGE="","утверждении","изменении")&amp;" тарифов"</f>
        <v>Номер документа об утверждении тарифов</v>
      </c>
      <c r="T33" s="1284"/>
      <c r="U33" s="773"/>
      <c r="V33" s="1286" t="str">
        <f>IF(TITLE_NUMBER_PR_CHANGE="",IF(TITLE_NUMBER_PR="","",TITLE_NUMBER_PR),TITLE_NUMBER_PR_CHANGE)</f>
        <v/>
      </c>
      <c r="W33" s="1286"/>
      <c r="X33" s="1286"/>
      <c r="Y33" s="1286"/>
      <c r="Z33" s="1286"/>
      <c r="AA33" s="1286"/>
      <c r="AB33" s="1286"/>
      <c r="AC33" s="11"/>
      <c r="AD33" s="1286" t="str">
        <f>IF(TITLE_NUMBER_PR_CHANGE="",IF(TITLE_NUMBER_PR="","",TITLE_NUMBER_PR),TITLE_NUMBER_PR_CHANGE)</f>
        <v/>
      </c>
      <c r="AE33" s="1286"/>
      <c r="AF33" s="1286"/>
      <c r="AG33" s="1286"/>
      <c r="AH33" s="1286"/>
      <c r="AI33" s="1286"/>
      <c r="AJ33" s="1286"/>
      <c r="AK33" s="1286"/>
      <c r="AL33" s="1286"/>
      <c r="AM33" s="1286"/>
      <c r="AN33" s="1286"/>
      <c r="AO33" s="1286"/>
      <c r="AP33" s="1286"/>
      <c r="AQ33" s="1286"/>
      <c r="AR33" s="1286"/>
      <c r="AS33" s="1286"/>
      <c r="AT33" s="1286"/>
      <c r="AU33" s="1286"/>
      <c r="AV33" s="1286"/>
      <c r="AW33" s="1286"/>
      <c r="AX33" s="1286"/>
      <c r="AY33" s="1286"/>
      <c r="AZ33" s="1286"/>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84" t="s">
        <v>43</v>
      </c>
      <c r="T34" s="1284"/>
      <c r="U34" s="773"/>
      <c r="V34" s="1286" t="str">
        <f>IF(TITLE_IST_PUB_CHANGE="",IF(TITLE_IST_PUB="","",TITLE_IST_PUB),TITLE_IST_PUB_CHANGE)</f>
        <v/>
      </c>
      <c r="W34" s="1286"/>
      <c r="X34" s="1286"/>
      <c r="Y34" s="1286"/>
      <c r="Z34" s="1286"/>
      <c r="AA34" s="1286"/>
      <c r="AB34" s="1286"/>
      <c r="AC34" s="11"/>
      <c r="AD34" s="1286" t="str">
        <f>IF(TITLE_IST_PUB_CHANGE="",IF(TITLE_IST_PUB="","",TITLE_IST_PUB),TITLE_IST_PUB_CHANGE)</f>
        <v/>
      </c>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84" t="str">
        <f>"Дата подачи заявления об "&amp;IF(TITLE_DATE_PR_CHANGE="","утверждении","изменении")&amp;" тарифов"</f>
        <v>Дата подачи заявления об утверждении тарифов</v>
      </c>
      <c r="T36" s="1284"/>
      <c r="U36" s="773"/>
      <c r="V36" s="1285" t="str">
        <f>IF(TITLE_DATE_PR_CHANGE="",IF(TITLE_DATE_PR="","",TITLE_DATE_PR),TITLE_DATE_PR_CHANGE)</f>
        <v/>
      </c>
      <c r="W36" s="1285"/>
      <c r="X36" s="1285"/>
      <c r="Y36" s="1285"/>
      <c r="Z36" s="1285"/>
      <c r="AA36" s="1285"/>
      <c r="AB36" s="1285"/>
      <c r="AC36" s="11"/>
      <c r="AD36" s="1285" t="str">
        <f>IF(TITLE_DATE_PR_CHANGE="",IF(TITLE_DATE_PR="","",TITLE_DATE_PR),TITLE_DATE_PR_CHANGE)</f>
        <v/>
      </c>
      <c r="AE36" s="1285"/>
      <c r="AF36" s="1285"/>
      <c r="AG36" s="1285"/>
      <c r="AH36" s="1285"/>
      <c r="AI36" s="1285"/>
      <c r="AJ36" s="1285"/>
      <c r="AK36" s="1285"/>
      <c r="AL36" s="1285"/>
      <c r="AM36" s="1285"/>
      <c r="AN36" s="1285"/>
      <c r="AO36" s="1285"/>
      <c r="AP36" s="1285"/>
      <c r="AQ36" s="1285"/>
      <c r="AR36" s="1285"/>
      <c r="AS36" s="1285"/>
      <c r="AT36" s="1285"/>
      <c r="AU36" s="1285"/>
      <c r="AV36" s="1285"/>
      <c r="AW36" s="1285"/>
      <c r="AX36" s="1285"/>
      <c r="AY36" s="1285"/>
      <c r="AZ36" s="1285"/>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84" t="str">
        <f>"Номер подачи заявления об "&amp;IF(TITLE_DATE_PR_CHANGE="","утверждении","изменении")&amp;" тарифов"</f>
        <v>Номер подачи заявления об утверждении тарифов</v>
      </c>
      <c r="T37" s="1284"/>
      <c r="U37" s="773"/>
      <c r="V37" s="1286" t="str">
        <f>IF(TITLE_NUMBER_PR_CHANGE="",IF(TITLE_NUMBER_PR="","",TITLE_NUMBER_PR),TITLE_NUMBER_PR_CHANGE)</f>
        <v/>
      </c>
      <c r="W37" s="1286"/>
      <c r="X37" s="1286"/>
      <c r="Y37" s="1286"/>
      <c r="Z37" s="1286"/>
      <c r="AA37" s="1286"/>
      <c r="AB37" s="1286"/>
      <c r="AC37" s="11"/>
      <c r="AD37" s="1286" t="str">
        <f>IF(TITLE_NUMBER_PR_CHANGE="",IF(TITLE_NUMBER_PR="","",TITLE_NUMBER_PR),TITLE_NUMBER_PR_CHANGE)</f>
        <v/>
      </c>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429</v>
      </c>
      <c r="BD38" s="69"/>
      <c r="BE38" s="69"/>
      <c r="BF38" s="69"/>
      <c r="BG38" s="69"/>
      <c r="BH38" s="69"/>
      <c r="BI38" s="35">
        <v>0</v>
      </c>
    </row>
    <row r="39" spans="1:61" ht="14.65" customHeight="1">
      <c r="Q39" s="168"/>
      <c r="R39" s="28"/>
      <c r="S39" s="739"/>
      <c r="T39" s="10"/>
      <c r="U39" s="720"/>
      <c r="V39" s="1305"/>
      <c r="W39" s="1305"/>
      <c r="X39" s="1305"/>
      <c r="Y39" s="1305"/>
      <c r="Z39" s="1305"/>
      <c r="AA39" s="1305"/>
      <c r="AB39" s="1305"/>
      <c r="AC39" s="1305"/>
      <c r="AD39" s="1305"/>
      <c r="AE39" s="1305"/>
      <c r="AF39" s="1305"/>
      <c r="AG39" s="1305"/>
      <c r="AH39" s="1305"/>
      <c r="AI39" s="1305"/>
      <c r="AJ39" s="1305"/>
      <c r="AK39" s="1305"/>
      <c r="AL39" s="1305"/>
      <c r="AM39" s="1305"/>
      <c r="AN39" s="1305"/>
      <c r="AO39" s="1305"/>
      <c r="AP39" s="1305"/>
      <c r="AQ39" s="1305"/>
      <c r="AR39" s="1305"/>
      <c r="AS39" s="1305"/>
      <c r="AT39" s="1305"/>
      <c r="AU39" s="1305"/>
      <c r="AV39" s="1305"/>
      <c r="AW39" s="1305"/>
      <c r="AX39" s="1305"/>
      <c r="AY39" s="1305"/>
      <c r="AZ39" s="1305"/>
      <c r="BA39" s="1305"/>
      <c r="BI39" s="11">
        <v>14</v>
      </c>
    </row>
    <row r="40" spans="1:61" ht="14.65" customHeight="1">
      <c r="Q40" s="168"/>
      <c r="R40" s="28"/>
      <c r="S40" s="1159" t="s">
        <v>306</v>
      </c>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1159"/>
      <c r="AP40" s="1159"/>
      <c r="AQ40" s="1159"/>
      <c r="AR40" s="1159"/>
      <c r="AS40" s="1159"/>
      <c r="AT40" s="1159"/>
      <c r="AU40" s="1159"/>
      <c r="AV40" s="1159"/>
      <c r="AW40" s="1159"/>
      <c r="AX40" s="1159"/>
      <c r="AY40" s="1159"/>
      <c r="AZ40" s="1159"/>
      <c r="BA40" s="1159"/>
      <c r="BB40" s="1159"/>
      <c r="BC40" s="1159" t="s">
        <v>307</v>
      </c>
      <c r="BI40" s="11">
        <v>14</v>
      </c>
    </row>
    <row r="41" spans="1:61" ht="14.65" customHeight="1">
      <c r="Q41" s="168"/>
      <c r="R41" s="28"/>
      <c r="S41" s="1306" t="s">
        <v>88</v>
      </c>
      <c r="T41" s="1254" t="s">
        <v>511</v>
      </c>
      <c r="U41" s="172"/>
      <c r="V41" s="1307" t="s">
        <v>431</v>
      </c>
      <c r="W41" s="1308"/>
      <c r="X41" s="1308"/>
      <c r="Y41" s="1308"/>
      <c r="Z41" s="1308"/>
      <c r="AA41" s="1308"/>
      <c r="AB41" s="1309"/>
      <c r="AC41" s="1310" t="s">
        <v>432</v>
      </c>
      <c r="AD41" s="1339" t="s">
        <v>528</v>
      </c>
      <c r="AE41" s="1323"/>
      <c r="AF41" s="1323"/>
      <c r="AG41" s="1340"/>
      <c r="AH41" s="1339" t="s">
        <v>529</v>
      </c>
      <c r="AI41" s="1323"/>
      <c r="AJ41" s="1323"/>
      <c r="AK41" s="1340"/>
      <c r="AL41" s="1339" t="s">
        <v>530</v>
      </c>
      <c r="AM41" s="1323"/>
      <c r="AN41" s="1323"/>
      <c r="AO41" s="1340"/>
      <c r="AP41" s="1339" t="s">
        <v>515</v>
      </c>
      <c r="AQ41" s="1323"/>
      <c r="AR41" s="1323"/>
      <c r="AS41" s="1340"/>
      <c r="AT41" s="1307" t="s">
        <v>431</v>
      </c>
      <c r="AU41" s="1308"/>
      <c r="AV41" s="1308"/>
      <c r="AW41" s="1308"/>
      <c r="AX41" s="1308"/>
      <c r="AY41" s="1308"/>
      <c r="AZ41" s="1309"/>
      <c r="BA41" s="1310" t="s">
        <v>432</v>
      </c>
      <c r="BB41" s="1313" t="s">
        <v>434</v>
      </c>
      <c r="BC41" s="1159"/>
      <c r="BI41" s="11">
        <v>14</v>
      </c>
    </row>
    <row r="42" spans="1:61" ht="35.65" customHeight="1">
      <c r="Q42" s="168"/>
      <c r="R42" s="28"/>
      <c r="S42" s="1306"/>
      <c r="T42" s="1254"/>
      <c r="U42" s="607"/>
      <c r="V42" s="1225" t="s">
        <v>516</v>
      </c>
      <c r="W42" s="1226"/>
      <c r="X42" s="1225" t="s">
        <v>517</v>
      </c>
      <c r="Y42" s="1226"/>
      <c r="Z42" s="1225" t="s">
        <v>518</v>
      </c>
      <c r="AA42" s="1335"/>
      <c r="AB42" s="1226"/>
      <c r="AC42" s="1311"/>
      <c r="AD42" s="1341"/>
      <c r="AE42" s="1342"/>
      <c r="AF42" s="1342"/>
      <c r="AG42" s="1354"/>
      <c r="AH42" s="1341"/>
      <c r="AI42" s="1342"/>
      <c r="AJ42" s="1342"/>
      <c r="AK42" s="1354"/>
      <c r="AL42" s="1341"/>
      <c r="AM42" s="1342"/>
      <c r="AN42" s="1342"/>
      <c r="AO42" s="1354"/>
      <c r="AP42" s="1341"/>
      <c r="AQ42" s="1342"/>
      <c r="AR42" s="1342"/>
      <c r="AS42" s="1354"/>
      <c r="AT42" s="1225" t="s">
        <v>531</v>
      </c>
      <c r="AU42" s="1226"/>
      <c r="AV42" s="1225" t="s">
        <v>532</v>
      </c>
      <c r="AW42" s="1226"/>
      <c r="AX42" s="1225" t="s">
        <v>518</v>
      </c>
      <c r="AY42" s="1335"/>
      <c r="AZ42" s="1226"/>
      <c r="BA42" s="1311"/>
      <c r="BB42" s="1314"/>
      <c r="BC42" s="1159"/>
      <c r="BI42" s="11">
        <v>34</v>
      </c>
    </row>
    <row r="43" spans="1:61" ht="14.65" customHeight="1">
      <c r="Q43" s="168"/>
      <c r="R43" s="28"/>
      <c r="S43" s="1306"/>
      <c r="T43" s="1254"/>
      <c r="U43" s="607"/>
      <c r="V43" s="1230"/>
      <c r="W43" s="1231"/>
      <c r="X43" s="1230"/>
      <c r="Y43" s="1231"/>
      <c r="Z43" s="1230"/>
      <c r="AA43" s="1336"/>
      <c r="AB43" s="1231"/>
      <c r="AC43" s="1311"/>
      <c r="AD43" s="1341"/>
      <c r="AE43" s="1342"/>
      <c r="AF43" s="1342"/>
      <c r="AG43" s="1354"/>
      <c r="AH43" s="1341"/>
      <c r="AI43" s="1342"/>
      <c r="AJ43" s="1342"/>
      <c r="AK43" s="1354"/>
      <c r="AL43" s="1341"/>
      <c r="AM43" s="1342"/>
      <c r="AN43" s="1342"/>
      <c r="AO43" s="1354"/>
      <c r="AP43" s="1341"/>
      <c r="AQ43" s="1342"/>
      <c r="AR43" s="1342"/>
      <c r="AS43" s="1354"/>
      <c r="AT43" s="1230"/>
      <c r="AU43" s="1231"/>
      <c r="AV43" s="1230"/>
      <c r="AW43" s="1231"/>
      <c r="AX43" s="1230"/>
      <c r="AY43" s="1336"/>
      <c r="AZ43" s="1231"/>
      <c r="BA43" s="1311"/>
      <c r="BB43" s="1314"/>
      <c r="BC43" s="1159"/>
      <c r="BI43" s="11">
        <v>14</v>
      </c>
    </row>
    <row r="44" spans="1:61" ht="14.65" customHeight="1">
      <c r="A44" s="82"/>
      <c r="B44" s="82" t="s">
        <v>143</v>
      </c>
      <c r="C44" s="82" t="s">
        <v>144</v>
      </c>
      <c r="D44" s="82" t="s">
        <v>145</v>
      </c>
      <c r="E44" s="770" t="s">
        <v>439</v>
      </c>
      <c r="F44" s="770" t="s">
        <v>440</v>
      </c>
      <c r="G44" s="770" t="s">
        <v>441</v>
      </c>
      <c r="H44" s="770" t="s">
        <v>442</v>
      </c>
      <c r="I44" s="770" t="s">
        <v>443</v>
      </c>
      <c r="J44" s="770" t="s">
        <v>444</v>
      </c>
      <c r="K44" s="770" t="s">
        <v>445</v>
      </c>
      <c r="L44" s="770" t="s">
        <v>424</v>
      </c>
      <c r="Q44" s="168"/>
      <c r="R44" s="28"/>
      <c r="S44" s="1306"/>
      <c r="T44" s="1254"/>
      <c r="U44" s="173"/>
      <c r="V44" s="36" t="s">
        <v>480</v>
      </c>
      <c r="W44" s="36" t="s">
        <v>481</v>
      </c>
      <c r="X44" s="36" t="s">
        <v>480</v>
      </c>
      <c r="Y44" s="36" t="s">
        <v>481</v>
      </c>
      <c r="Z44" s="39" t="s">
        <v>448</v>
      </c>
      <c r="AA44" s="1259" t="s">
        <v>449</v>
      </c>
      <c r="AB44" s="1273"/>
      <c r="AC44" s="1312"/>
      <c r="AD44" s="1343"/>
      <c r="AE44" s="1344"/>
      <c r="AF44" s="1344"/>
      <c r="AG44" s="1345"/>
      <c r="AH44" s="1343"/>
      <c r="AI44" s="1344"/>
      <c r="AJ44" s="1344"/>
      <c r="AK44" s="1345"/>
      <c r="AL44" s="1343"/>
      <c r="AM44" s="1344"/>
      <c r="AN44" s="1344"/>
      <c r="AO44" s="1345"/>
      <c r="AP44" s="1343"/>
      <c r="AQ44" s="1344"/>
      <c r="AR44" s="1344"/>
      <c r="AS44" s="1345"/>
      <c r="AT44" s="36" t="s">
        <v>480</v>
      </c>
      <c r="AU44" s="36" t="s">
        <v>481</v>
      </c>
      <c r="AV44" s="36" t="s">
        <v>480</v>
      </c>
      <c r="AW44" s="36" t="s">
        <v>481</v>
      </c>
      <c r="AX44" s="39" t="s">
        <v>448</v>
      </c>
      <c r="AY44" s="1259" t="s">
        <v>449</v>
      </c>
      <c r="AZ44" s="1273"/>
      <c r="BA44" s="1312"/>
      <c r="BB44" s="1315"/>
      <c r="BC44" s="1159"/>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304">
        <f t="shared" ca="1" si="2"/>
        <v>8</v>
      </c>
      <c r="AB45" s="1304"/>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4">
        <f ca="1">OFFSET(AY45,0,-1)+1</f>
        <v>3</v>
      </c>
      <c r="AZ45" s="1304"/>
      <c r="BA45" s="727">
        <f ca="1">OFFSET(BA45,0,-2)+1</f>
        <v>4</v>
      </c>
      <c r="BB45" s="721">
        <f ca="1">OFFSET(BB45,0,-1)</f>
        <v>4</v>
      </c>
      <c r="BC45" s="727">
        <f ca="1">OFFSET(BC45,0,-1)+1</f>
        <v>5</v>
      </c>
      <c r="BD45" s="68"/>
      <c r="BE45" s="68"/>
      <c r="BF45" s="68"/>
      <c r="BG45" s="68"/>
      <c r="BH45" s="68"/>
      <c r="BI45" s="203">
        <v>0</v>
      </c>
    </row>
    <row r="46" spans="1:61" ht="21.95" customHeight="1">
      <c r="A46" s="769" t="s">
        <v>282</v>
      </c>
      <c r="B46" s="769"/>
      <c r="C46" s="769"/>
      <c r="D46" s="769"/>
      <c r="E46" s="1293">
        <v>1</v>
      </c>
      <c r="F46" s="769"/>
      <c r="G46" s="769"/>
      <c r="H46" s="769"/>
      <c r="I46" s="769"/>
      <c r="J46" s="769"/>
      <c r="K46" s="769"/>
      <c r="L46" s="770"/>
      <c r="M46" s="426"/>
      <c r="N46" s="426"/>
      <c r="O46" s="426"/>
      <c r="Q46" s="62"/>
      <c r="R46" s="207"/>
      <c r="S46" s="709">
        <f>INDEX(PT_DIFFERENTIATION_NUM_NTAR,MATCH(A46,PT_DIFFERENTIATION_NTAR_ID,0))</f>
        <v>0</v>
      </c>
      <c r="T46" s="67" t="s">
        <v>131</v>
      </c>
      <c r="U46" s="171"/>
      <c r="V46" s="1288"/>
      <c r="W46" s="1288"/>
      <c r="X46" s="1288"/>
      <c r="Y46" s="1288"/>
      <c r="Z46" s="1288"/>
      <c r="AA46" s="1288"/>
      <c r="AB46" s="1288"/>
      <c r="AC46" s="1289"/>
      <c r="AD46" s="1287" t="str">
        <f>INDEX(PT_DIFFERENTIATION_NTAR,MATCH(A46,PT_DIFFERENTIATION_NTAR_ID,0))</f>
        <v/>
      </c>
      <c r="AE46" s="1288"/>
      <c r="AF46" s="1288"/>
      <c r="AG46" s="1288"/>
      <c r="AH46" s="1288"/>
      <c r="AI46" s="1288"/>
      <c r="AJ46" s="1288"/>
      <c r="AK46" s="1288"/>
      <c r="AL46" s="1288"/>
      <c r="AM46" s="1288"/>
      <c r="AN46" s="1288"/>
      <c r="AO46" s="1288"/>
      <c r="AP46" s="1288"/>
      <c r="AQ46" s="1288"/>
      <c r="AR46" s="1288"/>
      <c r="AS46" s="1288"/>
      <c r="AT46" s="1288"/>
      <c r="AU46" s="1288"/>
      <c r="AV46" s="1288"/>
      <c r="AW46" s="1288"/>
      <c r="AX46" s="1288"/>
      <c r="AY46" s="1288"/>
      <c r="AZ46" s="1288"/>
      <c r="BA46" s="1288"/>
      <c r="BB46" s="1289"/>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282</v>
      </c>
      <c r="B47" s="769" t="s">
        <v>283</v>
      </c>
      <c r="C47" s="769"/>
      <c r="D47" s="769"/>
      <c r="E47" s="1294"/>
      <c r="F47" s="1293">
        <v>1</v>
      </c>
      <c r="G47" s="769"/>
      <c r="H47" s="769"/>
      <c r="I47" s="769"/>
      <c r="J47" s="769"/>
      <c r="K47" s="769"/>
      <c r="L47" s="770"/>
      <c r="M47" s="426"/>
      <c r="N47" s="426"/>
      <c r="O47" s="426"/>
      <c r="P47" s="301"/>
      <c r="Q47" s="802"/>
      <c r="R47" s="205"/>
      <c r="S47" s="709" t="str">
        <f>INDEX(PT_DIFFERENTIATION_NUM_TER,MATCH(B47,PT_DIFFERENTIATION_TER_ID,0))</f>
        <v>.</v>
      </c>
      <c r="T47" s="177" t="s">
        <v>403</v>
      </c>
      <c r="U47" s="171"/>
      <c r="V47" s="1288"/>
      <c r="W47" s="1288"/>
      <c r="X47" s="1288"/>
      <c r="Y47" s="1288"/>
      <c r="Z47" s="1288"/>
      <c r="AA47" s="1288"/>
      <c r="AB47" s="1288"/>
      <c r="AC47" s="1289"/>
      <c r="AD47" s="1287" t="str">
        <f>INDEX(PT_DIFFERENTIATION_TER,MATCH(B47,PT_DIFFERENTIATION_TER_ID,0))</f>
        <v/>
      </c>
      <c r="AE47" s="1288"/>
      <c r="AF47" s="1288"/>
      <c r="AG47" s="1288"/>
      <c r="AH47" s="1288"/>
      <c r="AI47" s="1288"/>
      <c r="AJ47" s="1288"/>
      <c r="AK47" s="1288"/>
      <c r="AL47" s="1288"/>
      <c r="AM47" s="1288"/>
      <c r="AN47" s="1288"/>
      <c r="AO47" s="1288"/>
      <c r="AP47" s="1288"/>
      <c r="AQ47" s="1288"/>
      <c r="AR47" s="1288"/>
      <c r="AS47" s="1288"/>
      <c r="AT47" s="1288"/>
      <c r="AU47" s="1288"/>
      <c r="AV47" s="1288"/>
      <c r="AW47" s="1288"/>
      <c r="AX47" s="1288"/>
      <c r="AY47" s="1288"/>
      <c r="AZ47" s="1288"/>
      <c r="BA47" s="1288"/>
      <c r="BB47" s="1289"/>
      <c r="BC47" s="729" t="s">
        <v>404</v>
      </c>
      <c r="BE47" s="69"/>
      <c r="BF47" s="69" t="str">
        <f t="shared" si="3"/>
        <v>Территория действия тарифа</v>
      </c>
      <c r="BG47" s="69"/>
      <c r="BH47" s="69"/>
      <c r="BI47" s="11">
        <v>21</v>
      </c>
    </row>
    <row r="48" spans="1:61" ht="35.65" customHeight="1">
      <c r="A48" s="769" t="s">
        <v>282</v>
      </c>
      <c r="B48" s="769" t="s">
        <v>283</v>
      </c>
      <c r="C48" s="769" t="s">
        <v>284</v>
      </c>
      <c r="D48" s="769"/>
      <c r="E48" s="1294"/>
      <c r="F48" s="1294"/>
      <c r="G48" s="1293">
        <v>1</v>
      </c>
      <c r="H48" s="769"/>
      <c r="I48" s="769"/>
      <c r="J48" s="769"/>
      <c r="K48" s="769"/>
      <c r="L48" s="770"/>
      <c r="M48" s="426"/>
      <c r="N48" s="426"/>
      <c r="O48" s="426"/>
      <c r="P48" s="131"/>
      <c r="Q48" s="802"/>
      <c r="R48" s="205"/>
      <c r="S48" s="709" t="str">
        <f>INDEX(PT_DIFFERENTIATION_NUM_CS,MATCH(C48,PT_DIFFERENTIATION_CS_ID,0))</f>
        <v>..</v>
      </c>
      <c r="T48" s="178" t="s">
        <v>520</v>
      </c>
      <c r="U48" s="171"/>
      <c r="V48" s="1288"/>
      <c r="W48" s="1288"/>
      <c r="X48" s="1288"/>
      <c r="Y48" s="1288"/>
      <c r="Z48" s="1288"/>
      <c r="AA48" s="1288"/>
      <c r="AB48" s="1288"/>
      <c r="AC48" s="1289"/>
      <c r="AD48" s="1287" t="str">
        <f>INDEX(PT_DIFFERENTIATION_CS,MATCH(C48,PT_DIFFERENTIATION_CS_ID,0))</f>
        <v/>
      </c>
      <c r="AE48" s="1288"/>
      <c r="AF48" s="1288"/>
      <c r="AG48" s="1288"/>
      <c r="AH48" s="1288"/>
      <c r="AI48" s="1288"/>
      <c r="AJ48" s="1288"/>
      <c r="AK48" s="1288"/>
      <c r="AL48" s="1288"/>
      <c r="AM48" s="1288"/>
      <c r="AN48" s="1288"/>
      <c r="AO48" s="1288"/>
      <c r="AP48" s="1288"/>
      <c r="AQ48" s="1288"/>
      <c r="AR48" s="1288"/>
      <c r="AS48" s="1288"/>
      <c r="AT48" s="1288"/>
      <c r="AU48" s="1288"/>
      <c r="AV48" s="1288"/>
      <c r="AW48" s="1288"/>
      <c r="AX48" s="1288"/>
      <c r="AY48" s="1288"/>
      <c r="AZ48" s="1288"/>
      <c r="BA48" s="1288"/>
      <c r="BB48" s="1289"/>
      <c r="BC48" s="729" t="s">
        <v>521</v>
      </c>
      <c r="BE48" s="69"/>
      <c r="BF48" s="69" t="str">
        <f t="shared" si="3"/>
        <v>Наименование централизованной системы водоотведения</v>
      </c>
      <c r="BG48" s="69"/>
      <c r="BH48" s="69"/>
      <c r="BI48" s="11">
        <v>34</v>
      </c>
    </row>
    <row r="49" spans="1:61" s="68" customFormat="1" ht="0" hidden="1" customHeight="1">
      <c r="A49" s="145" t="s">
        <v>282</v>
      </c>
      <c r="B49" s="145" t="s">
        <v>283</v>
      </c>
      <c r="C49" s="145" t="s">
        <v>284</v>
      </c>
      <c r="D49" s="145" t="s">
        <v>533</v>
      </c>
      <c r="E49" s="1294"/>
      <c r="F49" s="1294"/>
      <c r="G49" s="1294"/>
      <c r="H49" s="1293">
        <v>1</v>
      </c>
      <c r="I49" s="145"/>
      <c r="J49" s="145"/>
      <c r="K49" s="145"/>
      <c r="L49" s="346"/>
      <c r="M49" s="293"/>
      <c r="N49" s="293"/>
      <c r="O49" s="293"/>
      <c r="P49" s="820"/>
      <c r="Q49" s="821"/>
      <c r="R49" s="209"/>
      <c r="S49" s="362"/>
      <c r="T49" s="822"/>
      <c r="U49" s="780"/>
      <c r="V49" s="1325"/>
      <c r="W49" s="1325"/>
      <c r="X49" s="1325"/>
      <c r="Y49" s="1325"/>
      <c r="Z49" s="1325"/>
      <c r="AA49" s="1325"/>
      <c r="AB49" s="1325"/>
      <c r="AC49" s="1326"/>
      <c r="AD49" s="1324"/>
      <c r="AE49" s="1325"/>
      <c r="AF49" s="1325"/>
      <c r="AG49" s="1325"/>
      <c r="AH49" s="1325"/>
      <c r="AI49" s="1325"/>
      <c r="AJ49" s="1325"/>
      <c r="AK49" s="1325"/>
      <c r="AL49" s="1325"/>
      <c r="AM49" s="1325"/>
      <c r="AN49" s="1325"/>
      <c r="AO49" s="1325"/>
      <c r="AP49" s="1325"/>
      <c r="AQ49" s="1325"/>
      <c r="AR49" s="1325"/>
      <c r="AS49" s="1325"/>
      <c r="AT49" s="1325"/>
      <c r="AU49" s="1325"/>
      <c r="AV49" s="1325"/>
      <c r="AW49" s="1325"/>
      <c r="AX49" s="1325"/>
      <c r="AY49" s="1325"/>
      <c r="AZ49" s="1325"/>
      <c r="BA49" s="1325"/>
      <c r="BB49" s="1326"/>
      <c r="BC49" s="781" t="s">
        <v>408</v>
      </c>
      <c r="BE49" s="69"/>
      <c r="BF49" s="69" t="str">
        <f t="shared" si="3"/>
        <v/>
      </c>
      <c r="BG49" s="69"/>
      <c r="BH49" s="69"/>
      <c r="BI49" s="68">
        <v>0</v>
      </c>
    </row>
    <row r="50" spans="1:61" s="68" customFormat="1" ht="0" hidden="1" customHeight="1">
      <c r="A50" s="145" t="s">
        <v>282</v>
      </c>
      <c r="B50" s="145" t="s">
        <v>283</v>
      </c>
      <c r="C50" s="145" t="s">
        <v>284</v>
      </c>
      <c r="D50" s="145" t="s">
        <v>533</v>
      </c>
      <c r="E50" s="1294"/>
      <c r="F50" s="1294"/>
      <c r="G50" s="1294"/>
      <c r="H50" s="1294"/>
      <c r="I50" s="1295" t="str">
        <f>S49&amp;".1"</f>
        <v>.1</v>
      </c>
      <c r="J50" s="145"/>
      <c r="K50" s="145"/>
      <c r="L50" s="346" t="s">
        <v>409</v>
      </c>
      <c r="M50" s="290"/>
      <c r="N50" s="290"/>
      <c r="O50" s="290"/>
      <c r="P50" s="1297">
        <v>1</v>
      </c>
      <c r="Q50" s="122"/>
      <c r="R50" s="208"/>
      <c r="S50" s="362"/>
      <c r="T50" s="779"/>
      <c r="U50" s="780"/>
      <c r="V50" s="1325"/>
      <c r="W50" s="1325"/>
      <c r="X50" s="1325"/>
      <c r="Y50" s="1325"/>
      <c r="Z50" s="1325"/>
      <c r="AA50" s="1325"/>
      <c r="AB50" s="1325"/>
      <c r="AC50" s="1326"/>
      <c r="AD50" s="1324"/>
      <c r="AE50" s="1325"/>
      <c r="AF50" s="1325"/>
      <c r="AG50" s="1325"/>
      <c r="AH50" s="1325"/>
      <c r="AI50" s="1325"/>
      <c r="AJ50" s="1325"/>
      <c r="AK50" s="1325"/>
      <c r="AL50" s="1325"/>
      <c r="AM50" s="1325"/>
      <c r="AN50" s="1325"/>
      <c r="AO50" s="1325"/>
      <c r="AP50" s="1325"/>
      <c r="AQ50" s="1325"/>
      <c r="AR50" s="1325"/>
      <c r="AS50" s="1325"/>
      <c r="AT50" s="1325"/>
      <c r="AU50" s="1325"/>
      <c r="AV50" s="1325"/>
      <c r="AW50" s="1325"/>
      <c r="AX50" s="1325"/>
      <c r="AY50" s="1325"/>
      <c r="AZ50" s="1325"/>
      <c r="BA50" s="1325"/>
      <c r="BB50" s="1326"/>
      <c r="BC50" s="781"/>
      <c r="BE50" s="69"/>
      <c r="BF50" s="69" t="str">
        <f t="shared" si="3"/>
        <v/>
      </c>
      <c r="BG50" s="69"/>
      <c r="BH50" s="69"/>
      <c r="BI50" s="68">
        <v>0</v>
      </c>
    </row>
    <row r="51" spans="1:61" s="68" customFormat="1" ht="0" hidden="1" customHeight="1">
      <c r="A51" s="145" t="s">
        <v>282</v>
      </c>
      <c r="B51" s="145" t="s">
        <v>283</v>
      </c>
      <c r="C51" s="145" t="s">
        <v>284</v>
      </c>
      <c r="D51" s="145" t="s">
        <v>533</v>
      </c>
      <c r="E51" s="1294"/>
      <c r="F51" s="1294"/>
      <c r="G51" s="1294"/>
      <c r="H51" s="1294"/>
      <c r="I51" s="1296"/>
      <c r="J51" s="1295" t="str">
        <f>S49&amp;".1"</f>
        <v>.1</v>
      </c>
      <c r="K51" s="145"/>
      <c r="L51" s="346"/>
      <c r="M51" s="290"/>
      <c r="N51" s="290"/>
      <c r="O51" s="290"/>
      <c r="P51" s="1297"/>
      <c r="Q51" s="1297">
        <v>1</v>
      </c>
      <c r="R51" s="209"/>
      <c r="S51" s="362"/>
      <c r="T51" s="794"/>
      <c r="U51" s="780"/>
      <c r="V51" s="1325"/>
      <c r="W51" s="1325"/>
      <c r="X51" s="1325"/>
      <c r="Y51" s="1325"/>
      <c r="Z51" s="1325"/>
      <c r="AA51" s="1325"/>
      <c r="AB51" s="1325"/>
      <c r="AC51" s="1326"/>
      <c r="AD51" s="1324"/>
      <c r="AE51" s="1325"/>
      <c r="AF51" s="1325"/>
      <c r="AG51" s="1325"/>
      <c r="AH51" s="1325"/>
      <c r="AI51" s="1325"/>
      <c r="AJ51" s="1325"/>
      <c r="AK51" s="1325"/>
      <c r="AL51" s="1325"/>
      <c r="AM51" s="1325"/>
      <c r="AN51" s="1378"/>
      <c r="AO51" s="1378"/>
      <c r="AP51" s="1325"/>
      <c r="AQ51" s="1325"/>
      <c r="AR51" s="1325"/>
      <c r="AS51" s="1325"/>
      <c r="AT51" s="1325"/>
      <c r="AU51" s="1325"/>
      <c r="AV51" s="1325"/>
      <c r="AW51" s="1325"/>
      <c r="AX51" s="1325"/>
      <c r="AY51" s="1325"/>
      <c r="AZ51" s="1325"/>
      <c r="BA51" s="1325"/>
      <c r="BB51" s="1326"/>
      <c r="BC51" s="781"/>
      <c r="BE51" s="69"/>
      <c r="BF51" s="69" t="str">
        <f t="shared" si="3"/>
        <v/>
      </c>
      <c r="BG51" s="69"/>
      <c r="BH51" s="69"/>
      <c r="BI51" s="68">
        <v>0</v>
      </c>
    </row>
    <row r="52" spans="1:61" ht="11.45" customHeight="1">
      <c r="A52" s="769" t="s">
        <v>282</v>
      </c>
      <c r="B52" s="769" t="s">
        <v>283</v>
      </c>
      <c r="C52" s="769" t="s">
        <v>284</v>
      </c>
      <c r="D52" s="769" t="s">
        <v>533</v>
      </c>
      <c r="E52" s="1294"/>
      <c r="F52" s="1294"/>
      <c r="G52" s="1294"/>
      <c r="H52" s="1294"/>
      <c r="I52" s="1296"/>
      <c r="J52" s="1296"/>
      <c r="K52" s="1295" t="str">
        <f>S48&amp;".1"</f>
        <v>...1</v>
      </c>
      <c r="L52" s="770"/>
      <c r="P52" s="1297"/>
      <c r="Q52" s="1297"/>
      <c r="R52" s="209">
        <v>1</v>
      </c>
      <c r="S52" s="1350" t="str">
        <f>$K52</f>
        <v>...1</v>
      </c>
      <c r="T52" s="1372"/>
      <c r="U52" s="171"/>
      <c r="V52" s="306"/>
      <c r="W52" s="728"/>
      <c r="X52" s="306"/>
      <c r="Y52" s="728"/>
      <c r="Z52" s="943"/>
      <c r="AA52" s="297" t="s">
        <v>62</v>
      </c>
      <c r="AB52" s="943"/>
      <c r="AC52" s="297" t="s">
        <v>62</v>
      </c>
      <c r="AD52" s="1237" t="s">
        <v>62</v>
      </c>
      <c r="AE52" s="1346"/>
      <c r="AF52" s="1250">
        <v>1</v>
      </c>
      <c r="AG52" s="1371"/>
      <c r="AH52" s="1169" t="s">
        <v>62</v>
      </c>
      <c r="AI52" s="1346"/>
      <c r="AJ52" s="1250">
        <v>1</v>
      </c>
      <c r="AK52" s="1360" t="s">
        <v>22</v>
      </c>
      <c r="AL52" s="1169" t="s">
        <v>62</v>
      </c>
      <c r="AM52" s="1225"/>
      <c r="AN52" s="1250">
        <v>1</v>
      </c>
      <c r="AO52" s="1375"/>
      <c r="AP52" s="1376" t="s">
        <v>62</v>
      </c>
      <c r="AQ52" s="180"/>
      <c r="AR52" s="268">
        <v>1</v>
      </c>
      <c r="AS52" s="119" t="s">
        <v>22</v>
      </c>
      <c r="AT52" s="306"/>
      <c r="AU52" s="728"/>
      <c r="AV52" s="306"/>
      <c r="AW52" s="728"/>
      <c r="AX52" s="943"/>
      <c r="AY52" s="297" t="s">
        <v>62</v>
      </c>
      <c r="AZ52" s="943"/>
      <c r="BA52" s="297" t="s">
        <v>62</v>
      </c>
      <c r="BB52" s="766"/>
      <c r="BC52" s="1316" t="s">
        <v>503</v>
      </c>
      <c r="BE52" s="69"/>
      <c r="BF52" s="69" t="str">
        <f t="shared" si="3"/>
        <v/>
      </c>
      <c r="BG52" s="69"/>
      <c r="BH52" s="69"/>
      <c r="BI52" s="11">
        <v>11</v>
      </c>
    </row>
    <row r="53" spans="1:61" ht="11.45" customHeight="1">
      <c r="A53" s="769"/>
      <c r="B53" s="769"/>
      <c r="C53" s="769"/>
      <c r="D53" s="769"/>
      <c r="E53" s="1294"/>
      <c r="F53" s="1294"/>
      <c r="G53" s="1294"/>
      <c r="H53" s="1294"/>
      <c r="I53" s="1296"/>
      <c r="J53" s="1296"/>
      <c r="K53" s="1295"/>
      <c r="L53" s="770"/>
      <c r="P53" s="1297"/>
      <c r="Q53" s="1297"/>
      <c r="R53" s="209"/>
      <c r="S53" s="1351"/>
      <c r="T53" s="1373"/>
      <c r="U53" s="171"/>
      <c r="V53" s="789"/>
      <c r="W53" s="819"/>
      <c r="X53" s="789"/>
      <c r="Y53" s="819"/>
      <c r="Z53" s="789"/>
      <c r="AA53" s="789"/>
      <c r="AB53" s="789"/>
      <c r="AC53" s="789"/>
      <c r="AD53" s="1238"/>
      <c r="AE53" s="1346"/>
      <c r="AF53" s="1250"/>
      <c r="AG53" s="1371"/>
      <c r="AH53" s="1169"/>
      <c r="AI53" s="1346"/>
      <c r="AJ53" s="1250"/>
      <c r="AK53" s="1360"/>
      <c r="AL53" s="1169"/>
      <c r="AM53" s="1230"/>
      <c r="AN53" s="1250"/>
      <c r="AO53" s="1375"/>
      <c r="AP53" s="1377"/>
      <c r="AQ53" s="184"/>
      <c r="AR53" s="52"/>
      <c r="AS53" s="52" t="s">
        <v>504</v>
      </c>
      <c r="AT53" s="789"/>
      <c r="AU53" s="819"/>
      <c r="AV53" s="789"/>
      <c r="AW53" s="819"/>
      <c r="AX53" s="789"/>
      <c r="AY53" s="789"/>
      <c r="AZ53" s="789"/>
      <c r="BA53" s="789"/>
      <c r="BB53" s="793"/>
      <c r="BC53" s="1317"/>
      <c r="BE53" s="69"/>
      <c r="BF53" s="69"/>
      <c r="BG53" s="69"/>
      <c r="BH53" s="69"/>
      <c r="BI53" s="11">
        <v>11</v>
      </c>
    </row>
    <row r="54" spans="1:61" ht="11.45" customHeight="1">
      <c r="A54" s="769" t="s">
        <v>282</v>
      </c>
      <c r="B54" s="769"/>
      <c r="C54" s="769"/>
      <c r="D54" s="769"/>
      <c r="E54" s="1294"/>
      <c r="F54" s="1294"/>
      <c r="G54" s="1294"/>
      <c r="H54" s="1294"/>
      <c r="I54" s="1296"/>
      <c r="J54" s="1296"/>
      <c r="K54" s="1295"/>
      <c r="L54" s="770"/>
      <c r="P54" s="1297"/>
      <c r="Q54" s="1297"/>
      <c r="R54" s="209"/>
      <c r="S54" s="1351"/>
      <c r="T54" s="1373"/>
      <c r="U54" s="171"/>
      <c r="V54" s="789"/>
      <c r="W54" s="819"/>
      <c r="X54" s="789"/>
      <c r="Y54" s="819"/>
      <c r="Z54" s="789"/>
      <c r="AA54" s="789"/>
      <c r="AB54" s="789"/>
      <c r="AC54" s="789"/>
      <c r="AD54" s="1238"/>
      <c r="AE54" s="1346"/>
      <c r="AF54" s="1250"/>
      <c r="AG54" s="1371"/>
      <c r="AH54" s="1169"/>
      <c r="AI54" s="1346"/>
      <c r="AJ54" s="1250"/>
      <c r="AK54" s="1360"/>
      <c r="AL54" s="1169"/>
      <c r="AM54" s="184"/>
      <c r="AN54" s="823"/>
      <c r="AO54" s="823" t="s">
        <v>526</v>
      </c>
      <c r="AP54" s="52"/>
      <c r="AQ54" s="52"/>
      <c r="AR54" s="52"/>
      <c r="AS54" s="789"/>
      <c r="AT54" s="789"/>
      <c r="AU54" s="819"/>
      <c r="AV54" s="789"/>
      <c r="AW54" s="819"/>
      <c r="AX54" s="789"/>
      <c r="AY54" s="789"/>
      <c r="AZ54" s="789"/>
      <c r="BA54" s="789"/>
      <c r="BB54" s="793"/>
      <c r="BC54" s="1317"/>
      <c r="BE54" s="69"/>
      <c r="BF54" s="69"/>
      <c r="BG54" s="69"/>
      <c r="BH54" s="69"/>
      <c r="BI54" s="11">
        <v>11</v>
      </c>
    </row>
    <row r="55" spans="1:61" ht="11.45" customHeight="1">
      <c r="A55" s="769" t="s">
        <v>282</v>
      </c>
      <c r="B55" s="769"/>
      <c r="C55" s="769"/>
      <c r="D55" s="769"/>
      <c r="E55" s="1294"/>
      <c r="F55" s="1294"/>
      <c r="G55" s="1294"/>
      <c r="H55" s="1294"/>
      <c r="I55" s="1296"/>
      <c r="J55" s="1296"/>
      <c r="K55" s="1295"/>
      <c r="L55" s="770"/>
      <c r="P55" s="1297"/>
      <c r="Q55" s="1297"/>
      <c r="R55" s="209"/>
      <c r="S55" s="1351"/>
      <c r="T55" s="1373"/>
      <c r="U55" s="171"/>
      <c r="V55" s="789"/>
      <c r="W55" s="819"/>
      <c r="X55" s="789"/>
      <c r="Y55" s="819"/>
      <c r="Z55" s="789"/>
      <c r="AA55" s="789"/>
      <c r="AB55" s="789"/>
      <c r="AC55" s="789"/>
      <c r="AD55" s="1238"/>
      <c r="AE55" s="1346"/>
      <c r="AF55" s="1250"/>
      <c r="AG55" s="1371"/>
      <c r="AH55" s="1169"/>
      <c r="AI55" s="169"/>
      <c r="AJ55" s="110"/>
      <c r="AK55" s="182" t="s">
        <v>527</v>
      </c>
      <c r="AL55" s="789"/>
      <c r="AM55" s="789"/>
      <c r="AN55" s="789"/>
      <c r="AO55" s="789"/>
      <c r="AP55" s="789"/>
      <c r="AQ55" s="789"/>
      <c r="AR55" s="789"/>
      <c r="AS55" s="789"/>
      <c r="AT55" s="789"/>
      <c r="AU55" s="819"/>
      <c r="AV55" s="789"/>
      <c r="AW55" s="819"/>
      <c r="AX55" s="789"/>
      <c r="AY55" s="789"/>
      <c r="AZ55" s="789"/>
      <c r="BA55" s="789"/>
      <c r="BB55" s="793"/>
      <c r="BC55" s="1317"/>
      <c r="BE55" s="69"/>
      <c r="BF55" s="69"/>
      <c r="BG55" s="69"/>
      <c r="BH55" s="69"/>
      <c r="BI55" s="11">
        <v>11</v>
      </c>
    </row>
    <row r="56" spans="1:61" ht="11.45" customHeight="1">
      <c r="A56" s="769" t="s">
        <v>282</v>
      </c>
      <c r="B56" s="769" t="s">
        <v>283</v>
      </c>
      <c r="C56" s="769" t="s">
        <v>284</v>
      </c>
      <c r="D56" s="769" t="s">
        <v>533</v>
      </c>
      <c r="E56" s="1294"/>
      <c r="F56" s="1294"/>
      <c r="G56" s="1294"/>
      <c r="H56" s="1294"/>
      <c r="I56" s="1296"/>
      <c r="J56" s="1296"/>
      <c r="K56" s="1295"/>
      <c r="L56" s="770"/>
      <c r="P56" s="1297"/>
      <c r="Q56" s="1297"/>
      <c r="R56" s="209"/>
      <c r="S56" s="1352"/>
      <c r="T56" s="1374"/>
      <c r="U56" s="171"/>
      <c r="V56" s="789"/>
      <c r="W56" s="790" t="str">
        <f>Z52&amp;"-"&amp;AB52</f>
        <v>-</v>
      </c>
      <c r="X56" s="789"/>
      <c r="Y56" s="790" t="str">
        <f>AB52&amp;"-"&amp;AD52</f>
        <v>-да</v>
      </c>
      <c r="Z56" s="789"/>
      <c r="AA56" s="789"/>
      <c r="AB56" s="789"/>
      <c r="AC56" s="789"/>
      <c r="AD56" s="1174"/>
      <c r="AE56" s="181"/>
      <c r="AF56" s="183"/>
      <c r="AG56" s="52" t="s">
        <v>507</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7"/>
      <c r="BE56" s="69"/>
      <c r="BF56" s="69" t="str">
        <f t="shared" ref="BF56:BF63" si="4">IF(T56="","",T56)</f>
        <v/>
      </c>
      <c r="BG56" s="69"/>
      <c r="BH56" s="69"/>
      <c r="BI56" s="11">
        <v>11</v>
      </c>
    </row>
    <row r="57" spans="1:61" ht="11.45" customHeight="1">
      <c r="A57" s="769" t="s">
        <v>282</v>
      </c>
      <c r="B57" s="769" t="s">
        <v>283</v>
      </c>
      <c r="C57" s="769" t="s">
        <v>284</v>
      </c>
      <c r="D57" s="769" t="s">
        <v>533</v>
      </c>
      <c r="E57" s="1294"/>
      <c r="F57" s="1294"/>
      <c r="G57" s="1294"/>
      <c r="H57" s="1294"/>
      <c r="I57" s="1296"/>
      <c r="J57" s="1295"/>
      <c r="K57" s="769"/>
      <c r="L57" s="770"/>
      <c r="P57" s="1297"/>
      <c r="Q57" s="1297"/>
      <c r="R57" s="208"/>
      <c r="S57" s="742"/>
      <c r="T57" s="166" t="s">
        <v>470</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18"/>
      <c r="BE57" s="69"/>
      <c r="BF57" s="69" t="str">
        <f t="shared" si="4"/>
        <v>Добавить строку</v>
      </c>
      <c r="BG57" s="69"/>
      <c r="BH57" s="69"/>
      <c r="BI57" s="11">
        <v>11</v>
      </c>
    </row>
    <row r="58" spans="1:61" s="68" customFormat="1" ht="0" hidden="1" customHeight="1">
      <c r="A58" s="145" t="s">
        <v>282</v>
      </c>
      <c r="B58" s="145" t="s">
        <v>283</v>
      </c>
      <c r="C58" s="145" t="s">
        <v>284</v>
      </c>
      <c r="D58" s="145" t="s">
        <v>533</v>
      </c>
      <c r="E58" s="1294"/>
      <c r="F58" s="1294"/>
      <c r="G58" s="1294"/>
      <c r="H58" s="1294"/>
      <c r="I58" s="1295"/>
      <c r="J58" s="145"/>
      <c r="K58" s="145"/>
      <c r="L58" s="346"/>
      <c r="M58" s="290"/>
      <c r="N58" s="290"/>
      <c r="O58" s="290"/>
      <c r="P58" s="1297"/>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282</v>
      </c>
      <c r="B59" s="145" t="s">
        <v>283</v>
      </c>
      <c r="C59" s="145" t="s">
        <v>284</v>
      </c>
      <c r="D59" s="145" t="s">
        <v>533</v>
      </c>
      <c r="E59" s="1294"/>
      <c r="F59" s="1294"/>
      <c r="G59" s="1294"/>
      <c r="H59" s="1293"/>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282</v>
      </c>
      <c r="B60" s="145" t="s">
        <v>283</v>
      </c>
      <c r="C60" s="145" t="s">
        <v>284</v>
      </c>
      <c r="D60" s="145"/>
      <c r="E60" s="1294"/>
      <c r="F60" s="1294"/>
      <c r="G60" s="1293"/>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282</v>
      </c>
      <c r="B61" s="145" t="s">
        <v>283</v>
      </c>
      <c r="C61" s="145"/>
      <c r="D61" s="145"/>
      <c r="E61" s="1294"/>
      <c r="F61" s="1293"/>
      <c r="G61" s="145"/>
      <c r="H61" s="145"/>
      <c r="I61" s="145"/>
      <c r="J61" s="145"/>
      <c r="K61" s="145"/>
      <c r="L61" s="346"/>
      <c r="M61" s="759"/>
      <c r="N61" s="759"/>
      <c r="P61" s="104"/>
      <c r="Q61" s="755"/>
      <c r="R61" s="104"/>
      <c r="S61" s="760"/>
      <c r="T61" s="762" t="s">
        <v>421</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282</v>
      </c>
      <c r="B62" s="145"/>
      <c r="C62" s="145"/>
      <c r="D62" s="145"/>
      <c r="E62" s="1293"/>
      <c r="F62" s="145"/>
      <c r="G62" s="145"/>
      <c r="H62" s="145"/>
      <c r="I62" s="145"/>
      <c r="J62" s="145"/>
      <c r="K62" s="145"/>
      <c r="L62" s="346"/>
      <c r="M62" s="759"/>
      <c r="N62" s="759"/>
      <c r="P62" s="104"/>
      <c r="Q62" s="755"/>
      <c r="R62" s="104"/>
      <c r="S62" s="760"/>
      <c r="T62" s="762" t="s">
        <v>422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450</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92"/>
      <c r="U65" s="1292"/>
      <c r="V65" s="1292"/>
      <c r="W65" s="1292"/>
      <c r="X65" s="1292"/>
      <c r="Y65" s="1292"/>
      <c r="Z65" s="1292"/>
      <c r="AA65" s="1292"/>
      <c r="AB65" s="1292"/>
      <c r="AC65" s="1292"/>
      <c r="AD65" s="1292"/>
      <c r="AE65" s="1292"/>
      <c r="AF65" s="1292"/>
      <c r="AG65" s="1292"/>
      <c r="AH65" s="1292"/>
      <c r="AI65" s="1292"/>
      <c r="AJ65" s="1292"/>
      <c r="AK65" s="1292"/>
      <c r="AL65" s="1292"/>
      <c r="AM65" s="1292"/>
      <c r="AN65" s="1292"/>
      <c r="AO65" s="1292"/>
      <c r="AP65" s="1292"/>
      <c r="AQ65" s="1292"/>
      <c r="AR65" s="1292"/>
      <c r="AS65" s="1292"/>
      <c r="AT65" s="1292"/>
      <c r="AU65" s="1292"/>
      <c r="AV65" s="1292"/>
      <c r="AW65" s="1292"/>
      <c r="AX65" s="1292"/>
      <c r="AY65" s="1292"/>
      <c r="AZ65" s="1292"/>
      <c r="BA65" s="1292"/>
      <c r="BB65" s="1292"/>
      <c r="BC65" s="1292"/>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92"/>
      <c r="U67" s="1292"/>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R67" s="1292"/>
      <c r="AS67" s="1292"/>
      <c r="AT67" s="1292"/>
      <c r="AU67" s="1292"/>
      <c r="AV67" s="1292"/>
      <c r="AW67" s="1292"/>
      <c r="AX67" s="1292"/>
      <c r="AY67" s="1292"/>
      <c r="AZ67" s="1292"/>
      <c r="BA67" s="1292"/>
      <c r="BB67" s="1292"/>
      <c r="BC67" s="1292"/>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45" t="str">
        <f>NameTemplatesInListMO</f>
        <v>Перечень муниципальных районов и муниципальных образований (территорий оказания услуг)</v>
      </c>
      <c r="F4" s="1145"/>
      <c r="G4" s="1145"/>
      <c r="H4" s="1145"/>
      <c r="I4" s="1145"/>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23" t="s">
        <v>86</v>
      </c>
      <c r="F8" s="1146"/>
      <c r="G8" s="1"/>
      <c r="H8" s="1147" t="s">
        <v>87</v>
      </c>
      <c r="I8" s="1147"/>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44">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44"/>
      <c r="B13" s="63">
        <v>1</v>
      </c>
      <c r="C13" s="63"/>
      <c r="D13" s="461"/>
      <c r="E13" s="447" t="str">
        <f>A12&amp;"."&amp;B13</f>
        <v>1.1</v>
      </c>
      <c r="F13" s="457" t="s">
        <v>99</v>
      </c>
      <c r="G13" s="455" t="s">
        <v>100</v>
      </c>
      <c r="H13" s="455" t="s">
        <v>100</v>
      </c>
      <c r="I13" s="453" t="s">
        <v>101</v>
      </c>
      <c r="J13" s="69" t="e">
        <f ca="1">MERGEVALUE(G13)</f>
        <v>#NAME?</v>
      </c>
      <c r="K13" s="68"/>
      <c r="L13" s="68"/>
      <c r="M13" s="69" t="str">
        <f t="array" ref="M13">IF(ISERROR(MATCH(MID(N13,1,250),MID(note_ter,1,250),0)),"n","y")</f>
        <v>n</v>
      </c>
      <c r="N13" s="68"/>
      <c r="O13" s="69" t="str">
        <f>H13&amp;"("&amp;I13&amp;")"</f>
        <v>Сургут(71876000)</v>
      </c>
      <c r="P13" s="63"/>
      <c r="Q13" s="63"/>
      <c r="R13" s="236"/>
      <c r="S13" s="63"/>
      <c r="T13" s="63"/>
      <c r="U13" s="63"/>
      <c r="V13" s="62"/>
      <c r="W13" s="62"/>
      <c r="X13" s="104"/>
      <c r="Y13" s="104"/>
      <c r="Z13" s="104"/>
      <c r="AA13" s="104"/>
      <c r="AB13" s="104"/>
      <c r="AC13">
        <v>15</v>
      </c>
    </row>
    <row r="14" spans="1:29" ht="15.75" customHeight="1">
      <c r="A14" s="1144"/>
      <c r="C14" s="235"/>
      <c r="D14" s="462"/>
      <c r="E14" s="237"/>
      <c r="F14" s="88"/>
      <c r="G14" s="110" t="s">
        <v>102</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65" customHeight="1">
      <c r="A15" s="11"/>
      <c r="B15" s="63"/>
      <c r="C15" s="11"/>
      <c r="D15" s="77"/>
      <c r="E15" s="456"/>
      <c r="F15" s="89"/>
      <c r="G15" s="52" t="s">
        <v>103</v>
      </c>
      <c r="H15" s="89"/>
      <c r="I15" s="90"/>
      <c r="J15" s="146"/>
      <c r="K15" s="69"/>
      <c r="L15" s="69"/>
      <c r="M15" s="69"/>
      <c r="N15" s="69" t="s">
        <v>104</v>
      </c>
      <c r="O15" s="69"/>
      <c r="P15" s="126"/>
      <c r="Q15" s="126"/>
      <c r="R15" s="126"/>
      <c r="S15" s="126"/>
      <c r="AC15" s="45">
        <v>14</v>
      </c>
    </row>
    <row r="16" spans="1:29" s="45" customFormat="1" ht="21.9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65"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1499999999999999"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65" customHeight="1">
      <c r="AC21" s="11">
        <v>14</v>
      </c>
    </row>
    <row r="22" spans="1:29" ht="14.65" customHeight="1">
      <c r="AC22" s="11">
        <v>14</v>
      </c>
    </row>
    <row r="23" spans="1:29" ht="14.65" customHeight="1">
      <c r="AC23" s="11">
        <v>14</v>
      </c>
    </row>
    <row r="24" spans="1:29" ht="14.65" customHeight="1">
      <c r="H24" s="2"/>
      <c r="AC24" s="11">
        <v>14</v>
      </c>
    </row>
    <row r="25" spans="1:29" ht="14.65" customHeight="1">
      <c r="AC25" s="11">
        <v>14</v>
      </c>
    </row>
    <row r="26" spans="1:29" ht="14.65" customHeight="1">
      <c r="AC26" s="11">
        <v>14</v>
      </c>
    </row>
    <row r="27" spans="1:29" ht="14.65" customHeight="1">
      <c r="AC27" s="11">
        <v>14</v>
      </c>
    </row>
    <row r="28" spans="1:29" ht="14.65" customHeight="1">
      <c r="J28" s="11"/>
      <c r="K28" s="11"/>
      <c r="L28" s="11"/>
      <c r="AC28" s="11">
        <v>14</v>
      </c>
    </row>
    <row r="29" spans="1:29" ht="22.5" hidden="1" customHeight="1">
      <c r="A29" s="11" t="s">
        <v>82</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8"/>
      <c r="AC2" s="1288"/>
      <c r="AD2" s="1288"/>
      <c r="AE2" s="1288"/>
      <c r="AF2" s="1289"/>
      <c r="AG2" s="1287" t="e">
        <f>INDEX(PT_DIFFERENTIATION_NTAR,MATCH(A2,PT_DIFFERENTIATION_NTAR_ID,0))</f>
        <v>#N/A</v>
      </c>
      <c r="AH2" s="1288"/>
      <c r="AI2" s="1288"/>
      <c r="AJ2" s="1288"/>
      <c r="AK2" s="1288"/>
      <c r="AL2" s="1288"/>
      <c r="AM2" s="1288"/>
      <c r="AN2" s="1288"/>
      <c r="AO2" s="1288"/>
      <c r="AP2" s="1288"/>
      <c r="AQ2" s="1288"/>
      <c r="AR2" s="1289"/>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8"/>
      <c r="AC3" s="1288"/>
      <c r="AD3" s="1288"/>
      <c r="AE3" s="1288"/>
      <c r="AF3" s="1289"/>
      <c r="AG3" s="1287" t="e">
        <f>INDEX(PT_DIFFERENTIATION_TER,MATCH(B3,PT_DIFFERENTIATION_TER_ID,0))</f>
        <v>#N/A</v>
      </c>
      <c r="AH3" s="1288"/>
      <c r="AI3" s="1288"/>
      <c r="AJ3" s="1288"/>
      <c r="AK3" s="1288"/>
      <c r="AL3" s="1288"/>
      <c r="AM3" s="1288"/>
      <c r="AN3" s="1288"/>
      <c r="AO3" s="1288"/>
      <c r="AP3" s="1288"/>
      <c r="AQ3" s="1288"/>
      <c r="AR3" s="1289"/>
      <c r="AS3" s="729" t="s">
        <v>404</v>
      </c>
      <c r="AU3" s="69"/>
      <c r="AV3" s="69" t="str">
        <f t="shared" si="0"/>
        <v>Территория действия тарифа</v>
      </c>
      <c r="AW3" s="69"/>
      <c r="AX3" s="69"/>
      <c r="AY3" s="11">
        <v>0</v>
      </c>
    </row>
    <row r="4" spans="1:51"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534</v>
      </c>
      <c r="U4" s="171"/>
      <c r="V4" s="1287"/>
      <c r="W4" s="1288"/>
      <c r="X4" s="1288"/>
      <c r="Y4" s="1288"/>
      <c r="Z4" s="1288"/>
      <c r="AA4" s="1288"/>
      <c r="AB4" s="1288"/>
      <c r="AC4" s="1288"/>
      <c r="AD4" s="1288"/>
      <c r="AE4" s="1288"/>
      <c r="AF4" s="1289"/>
      <c r="AG4" s="1287" t="e">
        <f>INDEX(PT_DIFFERENTIATION_CS,MATCH(C4,PT_DIFFERENTIATION_CS_ID,0))</f>
        <v>#N/A</v>
      </c>
      <c r="AH4" s="1288"/>
      <c r="AI4" s="1288"/>
      <c r="AJ4" s="1288"/>
      <c r="AK4" s="1288"/>
      <c r="AL4" s="1288"/>
      <c r="AM4" s="1288"/>
      <c r="AN4" s="1288"/>
      <c r="AO4" s="1288"/>
      <c r="AP4" s="1288"/>
      <c r="AQ4" s="1288"/>
      <c r="AR4" s="1289"/>
      <c r="AS4" s="729" t="s">
        <v>535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94"/>
      <c r="F5" s="1294"/>
      <c r="G5" s="1294"/>
      <c r="H5" s="1294"/>
      <c r="I5" s="1295" t="e">
        <f>S4&amp;".1"</f>
        <v>#N/A</v>
      </c>
      <c r="J5" s="769"/>
      <c r="K5" s="769"/>
      <c r="L5" s="770"/>
      <c r="P5" s="1297">
        <v>1</v>
      </c>
      <c r="Q5" s="122"/>
      <c r="R5" s="208"/>
      <c r="S5" s="709" t="e">
        <f>$I5</f>
        <v>#N/A</v>
      </c>
      <c r="T5" s="164" t="s">
        <v>487</v>
      </c>
      <c r="U5" s="171"/>
      <c r="V5" s="1364"/>
      <c r="W5" s="1365"/>
      <c r="X5" s="1365"/>
      <c r="Y5" s="1365"/>
      <c r="Z5" s="1365"/>
      <c r="AA5" s="1365"/>
      <c r="AB5" s="1365"/>
      <c r="AC5" s="1365"/>
      <c r="AD5" s="1365"/>
      <c r="AE5" s="1365"/>
      <c r="AF5" s="1366"/>
      <c r="AG5" s="1367"/>
      <c r="AH5" s="1368"/>
      <c r="AI5" s="1368"/>
      <c r="AJ5" s="1368"/>
      <c r="AK5" s="1368"/>
      <c r="AL5" s="1368"/>
      <c r="AM5" s="1368"/>
      <c r="AN5" s="1368"/>
      <c r="AO5" s="1368"/>
      <c r="AP5" s="1368"/>
      <c r="AQ5" s="1368"/>
      <c r="AR5" s="1369"/>
      <c r="AS5" s="729" t="s">
        <v>488</v>
      </c>
      <c r="AU5" s="69"/>
      <c r="AV5" s="69" t="str">
        <f t="shared" si="0"/>
        <v>Наименование признака дифференциации</v>
      </c>
      <c r="AW5" s="69"/>
      <c r="AX5" s="69"/>
      <c r="AY5" s="11">
        <v>0</v>
      </c>
    </row>
    <row r="6" spans="1:51" ht="23.25" hidden="1" customHeight="1">
      <c r="A6" s="769"/>
      <c r="B6" s="769"/>
      <c r="C6" s="769"/>
      <c r="D6" s="769"/>
      <c r="E6" s="1294"/>
      <c r="F6" s="1294"/>
      <c r="G6" s="1294"/>
      <c r="H6" s="1294"/>
      <c r="I6" s="1296"/>
      <c r="J6" s="1295" t="e">
        <f>I5&amp;".1"</f>
        <v>#N/A</v>
      </c>
      <c r="K6" s="769"/>
      <c r="L6" s="770" t="s">
        <v>412</v>
      </c>
      <c r="P6" s="1297"/>
      <c r="Q6" s="1297">
        <v>1</v>
      </c>
      <c r="R6" s="209"/>
      <c r="S6" s="709" t="e">
        <f>$J6</f>
        <v>#N/A</v>
      </c>
      <c r="T6" s="165" t="s">
        <v>413</v>
      </c>
      <c r="U6" s="171"/>
      <c r="V6" s="1281"/>
      <c r="W6" s="1282"/>
      <c r="X6" s="1282"/>
      <c r="Y6" s="1282"/>
      <c r="Z6" s="1282"/>
      <c r="AA6" s="1282"/>
      <c r="AB6" s="1282"/>
      <c r="AC6" s="1282"/>
      <c r="AD6" s="1282"/>
      <c r="AE6" s="1282"/>
      <c r="AF6" s="1283"/>
      <c r="AG6" s="1281"/>
      <c r="AH6" s="1282"/>
      <c r="AI6" s="1282"/>
      <c r="AJ6" s="1282"/>
      <c r="AK6" s="1282"/>
      <c r="AL6" s="1282"/>
      <c r="AM6" s="1282"/>
      <c r="AN6" s="1282"/>
      <c r="AO6" s="1282"/>
      <c r="AP6" s="1282"/>
      <c r="AQ6" s="1282"/>
      <c r="AR6" s="1283"/>
      <c r="AS6" s="753" t="s">
        <v>489</v>
      </c>
      <c r="AU6" s="69"/>
      <c r="AV6" s="69" t="str">
        <f t="shared" si="0"/>
        <v>Группа потребителей</v>
      </c>
      <c r="AW6" s="69"/>
      <c r="AX6" s="69"/>
      <c r="AY6" s="11">
        <v>0</v>
      </c>
    </row>
    <row r="7" spans="1:51"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306"/>
      <c r="Y7" s="306"/>
      <c r="Z7" s="306"/>
      <c r="AA7" s="306"/>
      <c r="AB7" s="306"/>
      <c r="AC7" s="1298"/>
      <c r="AD7" s="1169" t="s">
        <v>62</v>
      </c>
      <c r="AE7" s="1298"/>
      <c r="AF7" s="1169" t="s">
        <v>62</v>
      </c>
      <c r="AG7" s="306"/>
      <c r="AH7" s="306"/>
      <c r="AI7" s="306"/>
      <c r="AJ7" s="306"/>
      <c r="AK7" s="306"/>
      <c r="AL7" s="306"/>
      <c r="AM7" s="306"/>
      <c r="AN7" s="1298"/>
      <c r="AO7" s="1169" t="s">
        <v>62</v>
      </c>
      <c r="AP7" s="1300"/>
      <c r="AQ7" s="1169" t="s">
        <v>62</v>
      </c>
      <c r="AR7" s="813"/>
      <c r="AS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94"/>
      <c r="F8" s="1294"/>
      <c r="G8" s="1294"/>
      <c r="H8" s="1294"/>
      <c r="I8" s="1296"/>
      <c r="J8" s="1296"/>
      <c r="K8" s="1295"/>
      <c r="L8" s="770"/>
      <c r="P8" s="1297"/>
      <c r="Q8" s="1297"/>
      <c r="R8" s="209"/>
      <c r="S8" s="65"/>
      <c r="T8" s="171"/>
      <c r="U8" s="171"/>
      <c r="V8" s="191"/>
      <c r="W8" s="191"/>
      <c r="X8" s="191"/>
      <c r="Y8" s="191"/>
      <c r="Z8" s="191"/>
      <c r="AA8" s="191"/>
      <c r="AB8" s="191"/>
      <c r="AC8" s="1299"/>
      <c r="AD8" s="1169"/>
      <c r="AE8" s="1299"/>
      <c r="AF8" s="1169"/>
      <c r="AG8" s="191"/>
      <c r="AH8" s="191"/>
      <c r="AI8" s="191"/>
      <c r="AJ8" s="191"/>
      <c r="AK8" s="191"/>
      <c r="AL8" s="191"/>
      <c r="AM8" s="191"/>
      <c r="AN8" s="1299"/>
      <c r="AO8" s="1169"/>
      <c r="AP8" s="1301"/>
      <c r="AQ8" s="1169"/>
      <c r="AR8" s="388"/>
      <c r="AS8" s="1370"/>
      <c r="AU8" s="69"/>
      <c r="AV8" s="69" t="str">
        <f t="shared" si="0"/>
        <v/>
      </c>
      <c r="AW8" s="69"/>
      <c r="AX8" s="69"/>
      <c r="AY8" s="11">
        <v>0</v>
      </c>
    </row>
    <row r="9" spans="1:51" ht="21" hidden="1" customHeight="1">
      <c r="A9" s="769"/>
      <c r="B9" s="769"/>
      <c r="C9" s="769"/>
      <c r="D9" s="769"/>
      <c r="E9" s="1294"/>
      <c r="F9" s="1294"/>
      <c r="G9" s="1294"/>
      <c r="H9" s="1294"/>
      <c r="I9" s="1296"/>
      <c r="J9" s="1295"/>
      <c r="K9" s="769"/>
      <c r="L9" s="770"/>
      <c r="P9" s="1297"/>
      <c r="Q9" s="1297"/>
      <c r="R9" s="208"/>
      <c r="S9" s="742"/>
      <c r="T9" s="166" t="s">
        <v>490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491</v>
      </c>
      <c r="AU9" s="69"/>
      <c r="AV9" s="69" t="str">
        <f t="shared" si="0"/>
        <v>Добавить значение признака дифференциации</v>
      </c>
      <c r="AW9" s="69"/>
      <c r="AX9" s="69"/>
      <c r="AY9" s="11">
        <v>0</v>
      </c>
    </row>
    <row r="10" spans="1:51" ht="21" hidden="1" customHeight="1">
      <c r="A10" s="769"/>
      <c r="B10" s="769"/>
      <c r="C10" s="769"/>
      <c r="D10" s="769"/>
      <c r="E10" s="1294"/>
      <c r="F10" s="1294"/>
      <c r="G10" s="1294"/>
      <c r="H10" s="1294"/>
      <c r="I10" s="1295"/>
      <c r="J10" s="769"/>
      <c r="K10" s="769"/>
      <c r="L10" s="770"/>
      <c r="P10" s="1297"/>
      <c r="Q10" s="122"/>
      <c r="R10" s="208"/>
      <c r="S10" s="742"/>
      <c r="T10" s="211" t="s">
        <v>418</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94"/>
      <c r="F11" s="1294"/>
      <c r="G11" s="1294"/>
      <c r="H11" s="1293"/>
      <c r="I11" s="769"/>
      <c r="J11" s="769"/>
      <c r="K11" s="769"/>
      <c r="L11" s="770"/>
      <c r="M11" s="426"/>
      <c r="N11" s="426"/>
      <c r="O11" s="63"/>
      <c r="P11" s="34"/>
      <c r="Q11" s="216"/>
      <c r="R11" s="207"/>
      <c r="S11" s="742"/>
      <c r="T11" s="107" t="s">
        <v>492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421</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422</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91"/>
      <c r="AO15" s="1290" t="s">
        <v>62</v>
      </c>
      <c r="AP15" s="1291"/>
      <c r="AQ15" s="1290" t="s">
        <v>62</v>
      </c>
      <c r="AY15" s="11">
        <v>0</v>
      </c>
    </row>
    <row r="16" spans="1:51" ht="14.25" hidden="1" customHeight="1">
      <c r="AG16" s="368"/>
      <c r="AH16" s="368"/>
      <c r="AI16" s="368"/>
      <c r="AJ16" s="368"/>
      <c r="AK16" s="368"/>
      <c r="AL16" s="368"/>
      <c r="AM16" s="368"/>
      <c r="AN16" s="1290"/>
      <c r="AO16" s="1290"/>
      <c r="AP16" s="1290"/>
      <c r="AQ16" s="1290"/>
      <c r="AY16" s="11">
        <v>0</v>
      </c>
    </row>
    <row r="17" spans="1:51" ht="14.25" hidden="1" customHeight="1">
      <c r="AY17" s="11">
        <v>0</v>
      </c>
    </row>
    <row r="18" spans="1:51" s="63" customFormat="1" ht="22.5" hidden="1" customHeight="1">
      <c r="L18" s="301"/>
      <c r="M18" s="506"/>
      <c r="N18" s="506"/>
      <c r="O18" s="771" t="s">
        <v>423</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424</v>
      </c>
      <c r="P20" s="506"/>
      <c r="Q20" s="815"/>
      <c r="R20" s="815"/>
      <c r="S20" s="426"/>
      <c r="T20" s="63" t="s">
        <v>425</v>
      </c>
      <c r="AD20" s="82" t="s">
        <v>426</v>
      </c>
      <c r="AF20" s="82" t="s">
        <v>427</v>
      </c>
      <c r="AG20" s="63" t="s">
        <v>425</v>
      </c>
      <c r="AO20" s="82" t="s">
        <v>428</v>
      </c>
      <c r="AQ20" s="82" t="s">
        <v>427</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59"/>
      <c r="AY24" s="11">
        <v>25</v>
      </c>
    </row>
    <row r="25" spans="1:51"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286"/>
      <c r="AC27" s="1286"/>
      <c r="AD27" s="1286"/>
      <c r="AE27" s="1286"/>
      <c r="AF27" s="11"/>
      <c r="AG27" s="1286" t="str">
        <f>IF(TITLE_NAME_OR_PR_CHANGE="",IF(TITLE_NAME_OR_PR="","",TITLE_NAME_OR_PR),TITLE_NAME_OR_PR_CHANGE)</f>
        <v/>
      </c>
      <c r="AH27" s="1286"/>
      <c r="AI27" s="1286"/>
      <c r="AJ27" s="1286"/>
      <c r="AK27" s="1286"/>
      <c r="AL27" s="1286"/>
      <c r="AM27" s="1286"/>
      <c r="AN27" s="1286"/>
      <c r="AO27" s="1286"/>
      <c r="AP27" s="1286"/>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285"/>
      <c r="AC28" s="1285"/>
      <c r="AD28" s="1285"/>
      <c r="AE28" s="1285"/>
      <c r="AF28" s="11"/>
      <c r="AG28" s="1285" t="str">
        <f>IF(TITLE_DATE_PR_CHANGE="",IF(TITLE_DATE_PR="","",TITLE_DATE_PR),TITLE_DATE_PR_CHANGE)</f>
        <v/>
      </c>
      <c r="AH28" s="1285"/>
      <c r="AI28" s="1285"/>
      <c r="AJ28" s="1285"/>
      <c r="AK28" s="1285"/>
      <c r="AL28" s="1285"/>
      <c r="AM28" s="1285"/>
      <c r="AN28" s="1285"/>
      <c r="AO28" s="1285"/>
      <c r="AP28" s="1285"/>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286"/>
      <c r="AC29" s="1286"/>
      <c r="AD29" s="1286"/>
      <c r="AE29" s="1286"/>
      <c r="AF29" s="11"/>
      <c r="AG29" s="1286" t="str">
        <f>IF(TITLE_NUMBER_PR_CHANGE="",IF(TITLE_NUMBER_PR="","",TITLE_NUMBER_PR),TITLE_NUMBER_PR_CHANGE)</f>
        <v/>
      </c>
      <c r="AH29" s="1286"/>
      <c r="AI29" s="1286"/>
      <c r="AJ29" s="1286"/>
      <c r="AK29" s="1286"/>
      <c r="AL29" s="1286"/>
      <c r="AM29" s="1286"/>
      <c r="AN29" s="1286"/>
      <c r="AO29" s="1286"/>
      <c r="AP29" s="1286"/>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286"/>
      <c r="AC30" s="1286"/>
      <c r="AD30" s="1286"/>
      <c r="AE30" s="1286"/>
      <c r="AF30" s="11"/>
      <c r="AG30" s="1286" t="str">
        <f>IF(TITLE_IST_PUB_CHANGE="",IF(TITLE_IST_PUB="","",TITLE_IST_PUB),TITLE_IST_PUB_CHANGE)</f>
        <v/>
      </c>
      <c r="AH30" s="1286"/>
      <c r="AI30" s="1286"/>
      <c r="AJ30" s="1286"/>
      <c r="AK30" s="1286"/>
      <c r="AL30" s="1286"/>
      <c r="AM30" s="1286"/>
      <c r="AN30" s="1286"/>
      <c r="AO30" s="1286"/>
      <c r="AP30" s="1286"/>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285"/>
      <c r="AC32" s="1285"/>
      <c r="AD32" s="1285"/>
      <c r="AE32" s="1285"/>
      <c r="AF32" s="11"/>
      <c r="AG32" s="1285" t="str">
        <f>IF(TITLE_DATE_PR_CHANGE="",IF(TITLE_DATE_PR="","",TITLE_DATE_PR),TITLE_DATE_PR_CHANGE)</f>
        <v/>
      </c>
      <c r="AH32" s="1285"/>
      <c r="AI32" s="1285"/>
      <c r="AJ32" s="1285"/>
      <c r="AK32" s="1285"/>
      <c r="AL32" s="1285"/>
      <c r="AM32" s="1285"/>
      <c r="AN32" s="1285"/>
      <c r="AO32" s="1285"/>
      <c r="AP32" s="1285"/>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286"/>
      <c r="AC33" s="1286"/>
      <c r="AD33" s="1286"/>
      <c r="AE33" s="1286"/>
      <c r="AF33" s="11"/>
      <c r="AG33" s="1286" t="str">
        <f>IF(TITLE_NUMBER_PR_CHANGE="",IF(TITLE_NUMBER_PR="","",TITLE_NUMBER_PR),TITLE_NUMBER_PR_CHANGE)</f>
        <v/>
      </c>
      <c r="AH33" s="1286"/>
      <c r="AI33" s="1286"/>
      <c r="AJ33" s="1286"/>
      <c r="AK33" s="1286"/>
      <c r="AL33" s="1286"/>
      <c r="AM33" s="1286"/>
      <c r="AN33" s="1286"/>
      <c r="AO33" s="1286"/>
      <c r="AP33" s="1286"/>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429</v>
      </c>
      <c r="AG34" s="11"/>
      <c r="AH34" s="11"/>
      <c r="AI34" s="11"/>
      <c r="AJ34" s="11"/>
      <c r="AK34" s="11"/>
      <c r="AL34" s="11"/>
      <c r="AM34" s="11"/>
      <c r="AN34" s="11"/>
      <c r="AO34" s="11"/>
      <c r="AP34" s="11"/>
      <c r="AQ34" s="68" t="s">
        <v>429</v>
      </c>
      <c r="AT34" s="69"/>
      <c r="AU34" s="69"/>
      <c r="AV34" s="69"/>
      <c r="AW34" s="69"/>
      <c r="AX34" s="69"/>
      <c r="AY34" s="35">
        <v>1</v>
      </c>
    </row>
    <row r="35" spans="1:51" ht="14.65" customHeight="1">
      <c r="Q35" s="28"/>
      <c r="R35" s="28"/>
      <c r="S35" s="739"/>
      <c r="T35" s="10"/>
      <c r="U35" s="720"/>
      <c r="V35" s="1305"/>
      <c r="W35" s="1305"/>
      <c r="X35" s="1305"/>
      <c r="Y35" s="1305"/>
      <c r="Z35" s="1305"/>
      <c r="AA35" s="1305"/>
      <c r="AB35" s="1305"/>
      <c r="AC35" s="1305"/>
      <c r="AD35" s="1305"/>
      <c r="AE35" s="1305"/>
      <c r="AF35" s="1305"/>
      <c r="AG35" s="1305"/>
      <c r="AH35" s="1305"/>
      <c r="AI35" s="1305"/>
      <c r="AJ35" s="1305"/>
      <c r="AK35" s="1305"/>
      <c r="AL35" s="1305"/>
      <c r="AM35" s="1305"/>
      <c r="AN35" s="1305"/>
      <c r="AO35" s="1305"/>
      <c r="AP35" s="1305"/>
      <c r="AQ35" s="1305"/>
      <c r="AY35" s="11">
        <v>14</v>
      </c>
    </row>
    <row r="36" spans="1:51" ht="14.65" customHeight="1">
      <c r="Q36" s="28"/>
      <c r="R36" s="28"/>
      <c r="S36" s="1159" t="s">
        <v>306</v>
      </c>
      <c r="T36" s="1159"/>
      <c r="U36" s="1159"/>
      <c r="V36" s="1159"/>
      <c r="W36" s="1159"/>
      <c r="X36" s="1159"/>
      <c r="Y36" s="1159"/>
      <c r="Z36" s="1159"/>
      <c r="AA36" s="1159"/>
      <c r="AB36" s="1159"/>
      <c r="AC36" s="1159"/>
      <c r="AD36" s="1159"/>
      <c r="AE36" s="1159"/>
      <c r="AF36" s="1159"/>
      <c r="AG36" s="1159"/>
      <c r="AH36" s="1159"/>
      <c r="AI36" s="1159"/>
      <c r="AJ36" s="1159"/>
      <c r="AK36" s="1159"/>
      <c r="AL36" s="1159"/>
      <c r="AM36" s="1159"/>
      <c r="AN36" s="1159"/>
      <c r="AO36" s="1159"/>
      <c r="AP36" s="1159"/>
      <c r="AQ36" s="1159"/>
      <c r="AR36" s="1159"/>
      <c r="AS36" s="1159" t="s">
        <v>307</v>
      </c>
      <c r="AY36" s="11">
        <v>14</v>
      </c>
    </row>
    <row r="37" spans="1:51" ht="14.65" customHeight="1">
      <c r="Q37" s="28"/>
      <c r="R37" s="28"/>
      <c r="S37" s="1306" t="s">
        <v>88</v>
      </c>
      <c r="T37" s="1254" t="s">
        <v>430</v>
      </c>
      <c r="U37" s="172"/>
      <c r="V37" s="1307" t="s">
        <v>431</v>
      </c>
      <c r="W37" s="1323"/>
      <c r="X37" s="1323"/>
      <c r="Y37" s="1323"/>
      <c r="Z37" s="1323"/>
      <c r="AA37" s="1323"/>
      <c r="AB37" s="1323"/>
      <c r="AC37" s="1308"/>
      <c r="AD37" s="1308"/>
      <c r="AE37" s="1309"/>
      <c r="AF37" s="1310" t="s">
        <v>432</v>
      </c>
      <c r="AG37" s="1307" t="s">
        <v>431</v>
      </c>
      <c r="AH37" s="1308"/>
      <c r="AI37" s="1308"/>
      <c r="AJ37" s="1308"/>
      <c r="AK37" s="1308"/>
      <c r="AL37" s="1308"/>
      <c r="AM37" s="1308"/>
      <c r="AN37" s="1308"/>
      <c r="AO37" s="1308"/>
      <c r="AP37" s="1309"/>
      <c r="AQ37" s="1310" t="s">
        <v>433</v>
      </c>
      <c r="AR37" s="1313" t="s">
        <v>434</v>
      </c>
      <c r="AS37" s="1159"/>
      <c r="AY37" s="11">
        <v>14</v>
      </c>
    </row>
    <row r="38" spans="1:51" ht="19.899999999999999" customHeight="1">
      <c r="Q38" s="28"/>
      <c r="R38" s="28"/>
      <c r="S38" s="1306"/>
      <c r="T38" s="1254"/>
      <c r="U38" s="607"/>
      <c r="V38" s="1159" t="s">
        <v>536</v>
      </c>
      <c r="W38" s="1379" t="s">
        <v>537</v>
      </c>
      <c r="X38" s="1379"/>
      <c r="Y38" s="1379"/>
      <c r="Z38" s="1379" t="s">
        <v>538</v>
      </c>
      <c r="AA38" s="1379"/>
      <c r="AB38" s="1379"/>
      <c r="AC38" s="1225" t="s">
        <v>438</v>
      </c>
      <c r="AD38" s="1335"/>
      <c r="AE38" s="1226"/>
      <c r="AF38" s="1311"/>
      <c r="AG38" s="1159" t="s">
        <v>536</v>
      </c>
      <c r="AH38" s="1379" t="s">
        <v>537</v>
      </c>
      <c r="AI38" s="1379"/>
      <c r="AJ38" s="1379"/>
      <c r="AK38" s="1379" t="s">
        <v>538</v>
      </c>
      <c r="AL38" s="1379"/>
      <c r="AM38" s="1379"/>
      <c r="AN38" s="1225" t="s">
        <v>438</v>
      </c>
      <c r="AO38" s="1335"/>
      <c r="AP38" s="1226"/>
      <c r="AQ38" s="1311"/>
      <c r="AR38" s="1314"/>
      <c r="AS38" s="1159"/>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306"/>
      <c r="T39" s="1254"/>
      <c r="U39" s="607"/>
      <c r="V39" s="1159"/>
      <c r="W39" s="1379" t="s">
        <v>539</v>
      </c>
      <c r="X39" s="1379" t="s">
        <v>540</v>
      </c>
      <c r="Y39" s="1379"/>
      <c r="Z39" s="1379" t="s">
        <v>541</v>
      </c>
      <c r="AA39" s="1379" t="s">
        <v>540</v>
      </c>
      <c r="AB39" s="1379"/>
      <c r="AC39" s="1230"/>
      <c r="AD39" s="1336"/>
      <c r="AE39" s="1231"/>
      <c r="AF39" s="1311"/>
      <c r="AG39" s="1159"/>
      <c r="AH39" s="1379" t="s">
        <v>539</v>
      </c>
      <c r="AI39" s="1379" t="s">
        <v>540</v>
      </c>
      <c r="AJ39" s="1379"/>
      <c r="AK39" s="1379" t="s">
        <v>541</v>
      </c>
      <c r="AL39" s="1379" t="s">
        <v>540</v>
      </c>
      <c r="AM39" s="1379"/>
      <c r="AN39" s="1230"/>
      <c r="AO39" s="1336"/>
      <c r="AP39" s="1231"/>
      <c r="AQ39" s="1311"/>
      <c r="AR39" s="1314"/>
      <c r="AS39" s="1159"/>
      <c r="AT39" s="68"/>
      <c r="AU39" s="68"/>
      <c r="AV39" s="68"/>
      <c r="AW39" s="68"/>
      <c r="AX39" s="68"/>
      <c r="AY39" s="11">
        <v>19</v>
      </c>
    </row>
    <row r="40" spans="1:51" ht="61.9" customHeight="1">
      <c r="A40" s="82"/>
      <c r="B40" s="82" t="s">
        <v>143</v>
      </c>
      <c r="C40" s="82" t="s">
        <v>144</v>
      </c>
      <c r="D40" s="82" t="s">
        <v>145</v>
      </c>
      <c r="E40" s="770" t="s">
        <v>439</v>
      </c>
      <c r="F40" s="770" t="s">
        <v>440</v>
      </c>
      <c r="G40" s="770" t="s">
        <v>441</v>
      </c>
      <c r="H40" s="770"/>
      <c r="I40" s="770" t="s">
        <v>494</v>
      </c>
      <c r="J40" s="770" t="s">
        <v>444</v>
      </c>
      <c r="K40" s="770" t="s">
        <v>495</v>
      </c>
      <c r="L40" s="770" t="s">
        <v>424</v>
      </c>
      <c r="Q40" s="28"/>
      <c r="R40" s="28"/>
      <c r="S40" s="1306"/>
      <c r="T40" s="1254"/>
      <c r="U40" s="173"/>
      <c r="V40" s="1159"/>
      <c r="W40" s="1379"/>
      <c r="X40" s="1050" t="s">
        <v>542</v>
      </c>
      <c r="Y40" s="1050" t="s">
        <v>543</v>
      </c>
      <c r="Z40" s="1379"/>
      <c r="AA40" s="1050" t="s">
        <v>544</v>
      </c>
      <c r="AB40" s="1050" t="s">
        <v>545</v>
      </c>
      <c r="AC40" s="39" t="s">
        <v>448</v>
      </c>
      <c r="AD40" s="1259" t="s">
        <v>449</v>
      </c>
      <c r="AE40" s="1273"/>
      <c r="AF40" s="1312"/>
      <c r="AG40" s="1159"/>
      <c r="AH40" s="1379"/>
      <c r="AI40" s="1050" t="s">
        <v>542</v>
      </c>
      <c r="AJ40" s="1050" t="s">
        <v>543</v>
      </c>
      <c r="AK40" s="1379"/>
      <c r="AL40" s="1050" t="s">
        <v>544</v>
      </c>
      <c r="AM40" s="1050" t="s">
        <v>545</v>
      </c>
      <c r="AN40" s="39" t="s">
        <v>448</v>
      </c>
      <c r="AO40" s="1259" t="s">
        <v>449</v>
      </c>
      <c r="AP40" s="1273"/>
      <c r="AQ40" s="1312"/>
      <c r="AR40" s="1315"/>
      <c r="AS40" s="1159"/>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286"/>
      <c r="X41" s="286"/>
      <c r="Y41" s="286"/>
      <c r="Z41" s="286"/>
      <c r="AA41" s="286"/>
      <c r="AB41" s="286"/>
      <c r="AC41" s="727">
        <f ca="1">OFFSET(AC41,0,-1)+1</f>
        <v>1</v>
      </c>
      <c r="AD41" s="1304">
        <f ca="1">OFFSET(AD41,0,-1)+1</f>
        <v>2</v>
      </c>
      <c r="AE41" s="1304"/>
      <c r="AF41" s="727">
        <f ca="1">OFFSET(AF41,0,-2)+1</f>
        <v>3</v>
      </c>
      <c r="AG41" s="727">
        <f ca="1">OFFSET(AG41,0,-1)+1</f>
        <v>4</v>
      </c>
      <c r="AH41" s="727"/>
      <c r="AI41" s="727"/>
      <c r="AJ41" s="727"/>
      <c r="AK41" s="727"/>
      <c r="AL41" s="727"/>
      <c r="AM41" s="727">
        <f ca="1">OFFSET(AM41,0,-1)+1</f>
        <v>1</v>
      </c>
      <c r="AN41" s="727">
        <f ca="1">OFFSET(AN41,0,-1)+1</f>
        <v>2</v>
      </c>
      <c r="AO41" s="1304">
        <f ca="1">OFFSET(AO41,0,-1)+1</f>
        <v>3</v>
      </c>
      <c r="AP41" s="1304"/>
      <c r="AQ41" s="727">
        <f ca="1">OFFSET(AQ41,0,-2)+1</f>
        <v>4</v>
      </c>
      <c r="AR41" s="721">
        <f ca="1">OFFSET(AR41,0,-1)</f>
        <v>4</v>
      </c>
      <c r="AS41" s="727">
        <f ca="1">OFFSET(AS41,0,-1)+1</f>
        <v>5</v>
      </c>
      <c r="AT41" s="68"/>
      <c r="AU41" s="68"/>
      <c r="AV41" s="68"/>
      <c r="AW41" s="68"/>
      <c r="AX41" s="68"/>
      <c r="AY41" s="203">
        <v>0</v>
      </c>
    </row>
    <row r="42" spans="1:51" ht="24" customHeight="1">
      <c r="A42" s="769" t="s">
        <v>257</v>
      </c>
      <c r="B42" s="769"/>
      <c r="C42" s="769"/>
      <c r="D42" s="769"/>
      <c r="E42" s="1293">
        <v>1</v>
      </c>
      <c r="F42" s="769"/>
      <c r="G42" s="769"/>
      <c r="H42" s="769"/>
      <c r="I42" s="769"/>
      <c r="J42" s="769"/>
      <c r="K42" s="769"/>
      <c r="L42" s="770"/>
      <c r="M42" s="426"/>
      <c r="N42" s="426"/>
      <c r="O42" s="426"/>
      <c r="Q42" s="34"/>
      <c r="R42" s="207"/>
      <c r="S42" s="709">
        <f>INDEX(PT_DIFFERENTIATION_NUM_NTAR,MATCH(A42,PT_DIFFERENTIATION_NTAR_ID,0))</f>
        <v>0</v>
      </c>
      <c r="T42" s="67" t="s">
        <v>131</v>
      </c>
      <c r="U42" s="171"/>
      <c r="V42" s="1287"/>
      <c r="W42" s="1288"/>
      <c r="X42" s="1288"/>
      <c r="Y42" s="1288"/>
      <c r="Z42" s="1288"/>
      <c r="AA42" s="1288"/>
      <c r="AB42" s="1288"/>
      <c r="AC42" s="1288"/>
      <c r="AD42" s="1288"/>
      <c r="AE42" s="1288"/>
      <c r="AF42" s="1289"/>
      <c r="AG42" s="1287" t="str">
        <f>INDEX(PT_DIFFERENTIATION_NTAR,MATCH(A42,PT_DIFFERENTIATION_NTAR_ID,0))</f>
        <v/>
      </c>
      <c r="AH42" s="1288"/>
      <c r="AI42" s="1288"/>
      <c r="AJ42" s="1288"/>
      <c r="AK42" s="1288"/>
      <c r="AL42" s="1288"/>
      <c r="AM42" s="1288"/>
      <c r="AN42" s="1288"/>
      <c r="AO42" s="1288"/>
      <c r="AP42" s="1288"/>
      <c r="AQ42" s="1288"/>
      <c r="AR42" s="1289"/>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257</v>
      </c>
      <c r="B43" s="769" t="s">
        <v>258</v>
      </c>
      <c r="C43" s="769"/>
      <c r="D43" s="769"/>
      <c r="E43" s="1294"/>
      <c r="F43" s="1293">
        <v>1</v>
      </c>
      <c r="G43" s="769"/>
      <c r="H43" s="769"/>
      <c r="I43" s="769"/>
      <c r="J43" s="769"/>
      <c r="K43" s="769"/>
      <c r="L43" s="770"/>
      <c r="M43" s="426"/>
      <c r="N43" s="426"/>
      <c r="O43" s="426"/>
      <c r="P43" s="58"/>
      <c r="Q43" s="204"/>
      <c r="R43" s="205"/>
      <c r="S43" s="709" t="str">
        <f>INDEX(PT_DIFFERENTIATION_NUM_TER,MATCH(B43,PT_DIFFERENTIATION_TER_ID,0))</f>
        <v>.</v>
      </c>
      <c r="T43" s="177" t="s">
        <v>403</v>
      </c>
      <c r="U43" s="171"/>
      <c r="V43" s="1287"/>
      <c r="W43" s="1288"/>
      <c r="X43" s="1288"/>
      <c r="Y43" s="1288"/>
      <c r="Z43" s="1288"/>
      <c r="AA43" s="1288"/>
      <c r="AB43" s="1288"/>
      <c r="AC43" s="1288"/>
      <c r="AD43" s="1288"/>
      <c r="AE43" s="1288"/>
      <c r="AF43" s="1289"/>
      <c r="AG43" s="1287" t="str">
        <f>INDEX(PT_DIFFERENTIATION_TER,MATCH(B43,PT_DIFFERENTIATION_TER_ID,0))</f>
        <v/>
      </c>
      <c r="AH43" s="1288"/>
      <c r="AI43" s="1288"/>
      <c r="AJ43" s="1288"/>
      <c r="AK43" s="1288"/>
      <c r="AL43" s="1288"/>
      <c r="AM43" s="1288"/>
      <c r="AN43" s="1288"/>
      <c r="AO43" s="1288"/>
      <c r="AP43" s="1288"/>
      <c r="AQ43" s="1288"/>
      <c r="AR43" s="1289"/>
      <c r="AS43" s="729" t="s">
        <v>404</v>
      </c>
      <c r="AU43" s="69"/>
      <c r="AV43" s="69" t="str">
        <f t="shared" si="1"/>
        <v>Территория действия тарифа</v>
      </c>
      <c r="AW43" s="69"/>
      <c r="AX43" s="69"/>
      <c r="AY43" s="11">
        <v>23</v>
      </c>
    </row>
    <row r="44" spans="1:51" ht="24" customHeight="1">
      <c r="A44" s="769" t="s">
        <v>257</v>
      </c>
      <c r="B44" s="769" t="s">
        <v>258</v>
      </c>
      <c r="C44" s="769" t="s">
        <v>259</v>
      </c>
      <c r="D44" s="769"/>
      <c r="E44" s="1294"/>
      <c r="F44" s="1294"/>
      <c r="G44" s="1293">
        <v>1</v>
      </c>
      <c r="H44" s="769"/>
      <c r="I44" s="769"/>
      <c r="J44" s="769"/>
      <c r="K44" s="769"/>
      <c r="L44" s="770"/>
      <c r="M44" s="426"/>
      <c r="N44" s="426"/>
      <c r="O44" s="426"/>
      <c r="P44" s="206"/>
      <c r="Q44" s="204"/>
      <c r="R44" s="205"/>
      <c r="S44" s="709" t="str">
        <f>INDEX(PT_DIFFERENTIATION_NUM_CS,MATCH(C44,PT_DIFFERENTIATION_CS_ID,0))</f>
        <v>..</v>
      </c>
      <c r="T44" s="178" t="s">
        <v>534</v>
      </c>
      <c r="U44" s="171"/>
      <c r="V44" s="1287"/>
      <c r="W44" s="1288"/>
      <c r="X44" s="1288"/>
      <c r="Y44" s="1288"/>
      <c r="Z44" s="1288"/>
      <c r="AA44" s="1288"/>
      <c r="AB44" s="1288"/>
      <c r="AC44" s="1288"/>
      <c r="AD44" s="1288"/>
      <c r="AE44" s="1288"/>
      <c r="AF44" s="1289"/>
      <c r="AG44" s="1287" t="str">
        <f>INDEX(PT_DIFFERENTIATION_CS,MATCH(C44,PT_DIFFERENTIATION_CS_ID,0))</f>
        <v/>
      </c>
      <c r="AH44" s="1288"/>
      <c r="AI44" s="1288"/>
      <c r="AJ44" s="1288"/>
      <c r="AK44" s="1288"/>
      <c r="AL44" s="1288"/>
      <c r="AM44" s="1288"/>
      <c r="AN44" s="1288"/>
      <c r="AO44" s="1288"/>
      <c r="AP44" s="1288"/>
      <c r="AQ44" s="1288"/>
      <c r="AR44" s="1289"/>
      <c r="AS44" s="729" t="s">
        <v>535</v>
      </c>
      <c r="AU44" s="69"/>
      <c r="AV44" s="69" t="str">
        <f t="shared" si="1"/>
        <v>Наименование централизованной системы горячего водоснабжения</v>
      </c>
      <c r="AW44" s="69"/>
      <c r="AX44" s="69"/>
      <c r="AY44" s="11">
        <v>23</v>
      </c>
    </row>
    <row r="45" spans="1:51" ht="24" customHeight="1">
      <c r="A45" s="769" t="s">
        <v>257</v>
      </c>
      <c r="B45" s="769" t="s">
        <v>258</v>
      </c>
      <c r="C45" s="769" t="s">
        <v>259</v>
      </c>
      <c r="D45" s="769" t="s">
        <v>546</v>
      </c>
      <c r="E45" s="1294"/>
      <c r="F45" s="1294"/>
      <c r="G45" s="1294"/>
      <c r="H45" s="1294"/>
      <c r="I45" s="1295" t="str">
        <f>S44&amp;".1"</f>
        <v>...1</v>
      </c>
      <c r="J45" s="769"/>
      <c r="K45" s="769"/>
      <c r="L45" s="770"/>
      <c r="P45" s="1297">
        <v>1</v>
      </c>
      <c r="Q45" s="122"/>
      <c r="R45" s="208"/>
      <c r="S45" s="709" t="str">
        <f>$I45</f>
        <v>...1</v>
      </c>
      <c r="T45" s="164" t="s">
        <v>487</v>
      </c>
      <c r="U45" s="171"/>
      <c r="V45" s="1364"/>
      <c r="W45" s="1365"/>
      <c r="X45" s="1365"/>
      <c r="Y45" s="1365"/>
      <c r="Z45" s="1365"/>
      <c r="AA45" s="1365"/>
      <c r="AB45" s="1365"/>
      <c r="AC45" s="1365"/>
      <c r="AD45" s="1365"/>
      <c r="AE45" s="1365"/>
      <c r="AF45" s="1366"/>
      <c r="AG45" s="1367"/>
      <c r="AH45" s="1368"/>
      <c r="AI45" s="1368"/>
      <c r="AJ45" s="1368"/>
      <c r="AK45" s="1368"/>
      <c r="AL45" s="1368"/>
      <c r="AM45" s="1368"/>
      <c r="AN45" s="1368"/>
      <c r="AO45" s="1368"/>
      <c r="AP45" s="1368"/>
      <c r="AQ45" s="1368"/>
      <c r="AR45" s="1369"/>
      <c r="AS45" s="729" t="s">
        <v>488</v>
      </c>
      <c r="AU45" s="69"/>
      <c r="AV45" s="69" t="str">
        <f t="shared" si="1"/>
        <v>Наименование признака дифференциации</v>
      </c>
      <c r="AW45" s="69"/>
      <c r="AX45" s="69"/>
      <c r="AY45" s="11">
        <v>23</v>
      </c>
    </row>
    <row r="46" spans="1:51" ht="24" customHeight="1">
      <c r="A46" s="769" t="s">
        <v>257</v>
      </c>
      <c r="B46" s="769" t="s">
        <v>258</v>
      </c>
      <c r="C46" s="769" t="s">
        <v>259</v>
      </c>
      <c r="D46" s="769" t="s">
        <v>546</v>
      </c>
      <c r="E46" s="1294"/>
      <c r="F46" s="1294"/>
      <c r="G46" s="1294"/>
      <c r="H46" s="1294"/>
      <c r="I46" s="1296"/>
      <c r="J46" s="1295" t="str">
        <f>I45&amp;".1"</f>
        <v>...1.1</v>
      </c>
      <c r="K46" s="769"/>
      <c r="L46" s="770" t="s">
        <v>412</v>
      </c>
      <c r="P46" s="1297"/>
      <c r="Q46" s="1297">
        <v>1</v>
      </c>
      <c r="R46" s="209"/>
      <c r="S46" s="709" t="str">
        <f>$J46</f>
        <v>...1.1</v>
      </c>
      <c r="T46" s="165" t="s">
        <v>413</v>
      </c>
      <c r="U46" s="171"/>
      <c r="V46" s="1281"/>
      <c r="W46" s="1282"/>
      <c r="X46" s="1282"/>
      <c r="Y46" s="1282"/>
      <c r="Z46" s="1282"/>
      <c r="AA46" s="1282"/>
      <c r="AB46" s="1282"/>
      <c r="AC46" s="1282"/>
      <c r="AD46" s="1282"/>
      <c r="AE46" s="1282"/>
      <c r="AF46" s="1283"/>
      <c r="AG46" s="1281"/>
      <c r="AH46" s="1282"/>
      <c r="AI46" s="1282"/>
      <c r="AJ46" s="1282"/>
      <c r="AK46" s="1282"/>
      <c r="AL46" s="1282"/>
      <c r="AM46" s="1282"/>
      <c r="AN46" s="1282"/>
      <c r="AO46" s="1282"/>
      <c r="AP46" s="1282"/>
      <c r="AQ46" s="1282"/>
      <c r="AR46" s="1283"/>
      <c r="AS46" s="753" t="s">
        <v>489</v>
      </c>
      <c r="AU46" s="69"/>
      <c r="AV46" s="69" t="str">
        <f t="shared" si="1"/>
        <v>Группа потребителей</v>
      </c>
      <c r="AW46" s="69"/>
      <c r="AX46" s="69"/>
      <c r="AY46" s="11">
        <v>23</v>
      </c>
    </row>
    <row r="47" spans="1:51" ht="24" customHeight="1">
      <c r="A47" s="769" t="s">
        <v>257</v>
      </c>
      <c r="B47" s="769" t="s">
        <v>258</v>
      </c>
      <c r="C47" s="769" t="s">
        <v>259</v>
      </c>
      <c r="D47" s="769" t="s">
        <v>546</v>
      </c>
      <c r="E47" s="1294"/>
      <c r="F47" s="1294"/>
      <c r="G47" s="1294"/>
      <c r="H47" s="1294"/>
      <c r="I47" s="1296"/>
      <c r="J47" s="1296"/>
      <c r="K47" s="1295" t="str">
        <f>J46&amp;".1"</f>
        <v>...1.1.1</v>
      </c>
      <c r="L47" s="770"/>
      <c r="P47" s="1297"/>
      <c r="Q47" s="1297"/>
      <c r="R47" s="209">
        <v>1</v>
      </c>
      <c r="S47" s="709" t="str">
        <f>$K47</f>
        <v>...1.1.1</v>
      </c>
      <c r="T47" s="812"/>
      <c r="U47" s="171"/>
      <c r="V47" s="306"/>
      <c r="W47" s="306"/>
      <c r="X47" s="306"/>
      <c r="Y47" s="306"/>
      <c r="Z47" s="306"/>
      <c r="AA47" s="306"/>
      <c r="AB47" s="306"/>
      <c r="AC47" s="1291"/>
      <c r="AD47" s="1290" t="s">
        <v>62</v>
      </c>
      <c r="AE47" s="1291"/>
      <c r="AF47" s="1290" t="s">
        <v>62</v>
      </c>
      <c r="AG47" s="306"/>
      <c r="AH47" s="306"/>
      <c r="AI47" s="306"/>
      <c r="AJ47" s="306"/>
      <c r="AK47" s="306"/>
      <c r="AL47" s="306"/>
      <c r="AM47" s="306"/>
      <c r="AN47" s="1298"/>
      <c r="AO47" s="1169" t="s">
        <v>62</v>
      </c>
      <c r="AP47" s="1300"/>
      <c r="AQ47" s="1169" t="s">
        <v>19</v>
      </c>
      <c r="AR47" s="813"/>
      <c r="AS4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257</v>
      </c>
      <c r="B48" s="769" t="s">
        <v>258</v>
      </c>
      <c r="C48" s="769" t="s">
        <v>259</v>
      </c>
      <c r="D48" s="769" t="s">
        <v>546</v>
      </c>
      <c r="E48" s="1294"/>
      <c r="F48" s="1294"/>
      <c r="G48" s="1294"/>
      <c r="H48" s="1294"/>
      <c r="I48" s="1296"/>
      <c r="J48" s="1296"/>
      <c r="K48" s="1295"/>
      <c r="L48" s="770"/>
      <c r="P48" s="1297"/>
      <c r="Q48" s="1297"/>
      <c r="R48" s="209"/>
      <c r="S48" s="65"/>
      <c r="T48" s="171"/>
      <c r="U48" s="171"/>
      <c r="V48" s="368"/>
      <c r="W48" s="368"/>
      <c r="X48" s="368"/>
      <c r="Y48" s="368"/>
      <c r="Z48" s="368"/>
      <c r="AA48" s="368"/>
      <c r="AB48" s="368"/>
      <c r="AC48" s="1290"/>
      <c r="AD48" s="1290"/>
      <c r="AE48" s="1290"/>
      <c r="AF48" s="1290"/>
      <c r="AG48" s="191"/>
      <c r="AH48" s="191"/>
      <c r="AI48" s="191"/>
      <c r="AJ48" s="191"/>
      <c r="AK48" s="191"/>
      <c r="AL48" s="191"/>
      <c r="AM48" s="191"/>
      <c r="AN48" s="1299"/>
      <c r="AO48" s="1169"/>
      <c r="AP48" s="1301"/>
      <c r="AQ48" s="1169"/>
      <c r="AR48" s="388"/>
      <c r="AS48" s="1370"/>
      <c r="AU48" s="69"/>
      <c r="AV48" s="69" t="str">
        <f t="shared" si="1"/>
        <v/>
      </c>
      <c r="AW48" s="69"/>
      <c r="AX48" s="69"/>
      <c r="AY48" s="11">
        <v>0</v>
      </c>
    </row>
    <row r="49" spans="1:51" ht="21" customHeight="1">
      <c r="A49" s="769" t="s">
        <v>257</v>
      </c>
      <c r="B49" s="769" t="s">
        <v>258</v>
      </c>
      <c r="C49" s="769" t="s">
        <v>259</v>
      </c>
      <c r="D49" s="769" t="s">
        <v>546</v>
      </c>
      <c r="E49" s="1294"/>
      <c r="F49" s="1294"/>
      <c r="G49" s="1294"/>
      <c r="H49" s="1294"/>
      <c r="I49" s="1296"/>
      <c r="J49" s="1295"/>
      <c r="K49" s="769"/>
      <c r="L49" s="770"/>
      <c r="P49" s="1297"/>
      <c r="Q49" s="1297"/>
      <c r="R49" s="208"/>
      <c r="S49" s="742"/>
      <c r="T49" s="166" t="s">
        <v>490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491</v>
      </c>
      <c r="AU49" s="69"/>
      <c r="AV49" s="69" t="str">
        <f t="shared" si="1"/>
        <v>Добавить значение признака дифференциации</v>
      </c>
      <c r="AW49" s="69"/>
      <c r="AX49" s="69"/>
      <c r="AY49" s="11">
        <v>20</v>
      </c>
    </row>
    <row r="50" spans="1:51" ht="21.95" customHeight="1">
      <c r="A50" s="769" t="s">
        <v>257</v>
      </c>
      <c r="B50" s="769" t="s">
        <v>258</v>
      </c>
      <c r="C50" s="769" t="s">
        <v>259</v>
      </c>
      <c r="D50" s="769" t="s">
        <v>546</v>
      </c>
      <c r="E50" s="1294"/>
      <c r="F50" s="1294"/>
      <c r="G50" s="1294"/>
      <c r="H50" s="1294"/>
      <c r="I50" s="1295"/>
      <c r="J50" s="769"/>
      <c r="K50" s="769"/>
      <c r="L50" s="770"/>
      <c r="P50" s="1297"/>
      <c r="Q50" s="122"/>
      <c r="R50" s="208"/>
      <c r="S50" s="742"/>
      <c r="T50" s="211" t="s">
        <v>418</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257</v>
      </c>
      <c r="B51" s="769" t="s">
        <v>258</v>
      </c>
      <c r="C51" s="769" t="s">
        <v>259</v>
      </c>
      <c r="D51" s="769" t="s">
        <v>546</v>
      </c>
      <c r="E51" s="1294"/>
      <c r="F51" s="1294"/>
      <c r="G51" s="1294"/>
      <c r="H51" s="1293"/>
      <c r="I51" s="769"/>
      <c r="J51" s="769"/>
      <c r="K51" s="769"/>
      <c r="L51" s="770"/>
      <c r="M51" s="426"/>
      <c r="N51" s="426"/>
      <c r="O51" s="63"/>
      <c r="P51" s="34"/>
      <c r="Q51" s="216"/>
      <c r="R51" s="207"/>
      <c r="S51" s="742"/>
      <c r="T51" s="107" t="s">
        <v>492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257</v>
      </c>
      <c r="B52" s="145" t="s">
        <v>258</v>
      </c>
      <c r="C52" s="145"/>
      <c r="D52" s="145"/>
      <c r="E52" s="1294"/>
      <c r="F52" s="1293"/>
      <c r="G52" s="145"/>
      <c r="H52" s="145"/>
      <c r="I52" s="145"/>
      <c r="J52" s="145"/>
      <c r="K52" s="145"/>
      <c r="L52" s="346"/>
      <c r="M52" s="759"/>
      <c r="N52" s="759"/>
      <c r="P52" s="104"/>
      <c r="Q52" s="755"/>
      <c r="R52" s="104"/>
      <c r="S52" s="760"/>
      <c r="T52" s="762" t="s">
        <v>421</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257</v>
      </c>
      <c r="B53" s="145"/>
      <c r="C53" s="145"/>
      <c r="D53" s="145"/>
      <c r="E53" s="1293"/>
      <c r="F53" s="145"/>
      <c r="G53" s="145"/>
      <c r="H53" s="145"/>
      <c r="I53" s="145"/>
      <c r="J53" s="145"/>
      <c r="K53" s="145"/>
      <c r="L53" s="346"/>
      <c r="M53" s="759"/>
      <c r="N53" s="759"/>
      <c r="P53" s="104"/>
      <c r="Q53" s="755"/>
      <c r="R53" s="104"/>
      <c r="S53" s="760"/>
      <c r="T53" s="762" t="s">
        <v>422</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450</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92"/>
      <c r="U56" s="1292"/>
      <c r="V56" s="1292"/>
      <c r="W56" s="1292"/>
      <c r="X56" s="1292"/>
      <c r="Y56" s="1292"/>
      <c r="Z56" s="1292"/>
      <c r="AA56" s="1292"/>
      <c r="AB56" s="1292"/>
      <c r="AC56" s="1292"/>
      <c r="AD56" s="1292"/>
      <c r="AE56" s="1292"/>
      <c r="AF56" s="1292"/>
      <c r="AG56" s="1292"/>
      <c r="AH56" s="1292"/>
      <c r="AI56" s="1292"/>
      <c r="AJ56" s="1292"/>
      <c r="AK56" s="1292"/>
      <c r="AL56" s="1292"/>
      <c r="AM56" s="1292"/>
      <c r="AN56" s="1292"/>
      <c r="AO56" s="1292"/>
      <c r="AP56" s="1292"/>
      <c r="AQ56" s="1292"/>
      <c r="AR56" s="1292"/>
      <c r="AS56" s="1292"/>
      <c r="AY56" s="11">
        <v>14</v>
      </c>
    </row>
    <row r="57" spans="1:51" ht="14.65" customHeight="1">
      <c r="O57" s="63"/>
      <c r="AY57" s="11">
        <v>14</v>
      </c>
    </row>
    <row r="58" spans="1:51" ht="14.65" customHeight="1">
      <c r="O58" s="63"/>
      <c r="S58" s="198"/>
      <c r="T58" s="1292"/>
      <c r="U58" s="1292"/>
      <c r="V58" s="1292"/>
      <c r="W58" s="1292"/>
      <c r="X58" s="1292"/>
      <c r="Y58" s="1292"/>
      <c r="Z58" s="1292"/>
      <c r="AA58" s="1292"/>
      <c r="AB58" s="1292"/>
      <c r="AC58" s="1292"/>
      <c r="AD58" s="1292"/>
      <c r="AE58" s="1292"/>
      <c r="AF58" s="1292"/>
      <c r="AG58" s="1292"/>
      <c r="AH58" s="1292"/>
      <c r="AI58" s="1292"/>
      <c r="AJ58" s="1292"/>
      <c r="AK58" s="1292"/>
      <c r="AL58" s="1292"/>
      <c r="AM58" s="1292"/>
      <c r="AN58" s="1292"/>
      <c r="AO58" s="1292"/>
      <c r="AP58" s="1292"/>
      <c r="AQ58" s="1292"/>
      <c r="AR58" s="1292"/>
      <c r="AS58" s="1292"/>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131</v>
      </c>
      <c r="U2" s="171"/>
      <c r="V2" s="1287"/>
      <c r="W2" s="1288"/>
      <c r="X2" s="1288"/>
      <c r="Y2" s="1288"/>
      <c r="Z2" s="1288"/>
      <c r="AA2" s="1288"/>
      <c r="AB2" s="1288"/>
      <c r="AC2" s="1288"/>
      <c r="AD2" s="1288"/>
      <c r="AE2" s="1288"/>
      <c r="AF2" s="1289"/>
      <c r="AG2" s="1287" t="e">
        <f>INDEX(PT_DIFFERENTIATION_NTAR,MATCH(A2,PT_DIFFERENTIATION_NTAR_ID,0))</f>
        <v>#N/A</v>
      </c>
      <c r="AH2" s="1288"/>
      <c r="AI2" s="1288"/>
      <c r="AJ2" s="1288"/>
      <c r="AK2" s="1288"/>
      <c r="AL2" s="1288"/>
      <c r="AM2" s="1288"/>
      <c r="AN2" s="1288"/>
      <c r="AO2" s="1288"/>
      <c r="AP2" s="1288"/>
      <c r="AQ2" s="1288"/>
      <c r="AR2" s="1289"/>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403</v>
      </c>
      <c r="U3" s="171"/>
      <c r="V3" s="1287"/>
      <c r="W3" s="1288"/>
      <c r="X3" s="1288"/>
      <c r="Y3" s="1288"/>
      <c r="Z3" s="1288"/>
      <c r="AA3" s="1288"/>
      <c r="AB3" s="1288"/>
      <c r="AC3" s="1288"/>
      <c r="AD3" s="1288"/>
      <c r="AE3" s="1288"/>
      <c r="AF3" s="1289"/>
      <c r="AG3" s="1287" t="e">
        <f>INDEX(PT_DIFFERENTIATION_TER,MATCH(B3,PT_DIFFERENTIATION_TER_ID,0))</f>
        <v>#N/A</v>
      </c>
      <c r="AH3" s="1288"/>
      <c r="AI3" s="1288"/>
      <c r="AJ3" s="1288"/>
      <c r="AK3" s="1288"/>
      <c r="AL3" s="1288"/>
      <c r="AM3" s="1288"/>
      <c r="AN3" s="1288"/>
      <c r="AO3" s="1288"/>
      <c r="AP3" s="1288"/>
      <c r="AQ3" s="1288"/>
      <c r="AR3" s="1289"/>
      <c r="AS3" s="729" t="s">
        <v>404</v>
      </c>
      <c r="AU3" s="69"/>
      <c r="AV3" s="69" t="str">
        <f t="shared" si="0"/>
        <v>Территория действия тарифа</v>
      </c>
      <c r="AW3" s="69"/>
      <c r="AX3" s="69"/>
      <c r="AY3" s="11">
        <v>0</v>
      </c>
    </row>
    <row r="4" spans="1:51"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534</v>
      </c>
      <c r="U4" s="171"/>
      <c r="V4" s="1287"/>
      <c r="W4" s="1288"/>
      <c r="X4" s="1288"/>
      <c r="Y4" s="1288"/>
      <c r="Z4" s="1288"/>
      <c r="AA4" s="1288"/>
      <c r="AB4" s="1288"/>
      <c r="AC4" s="1288"/>
      <c r="AD4" s="1288"/>
      <c r="AE4" s="1288"/>
      <c r="AF4" s="1289"/>
      <c r="AG4" s="1287" t="e">
        <f>INDEX(PT_DIFFERENTIATION_CS,MATCH(C4,PT_DIFFERENTIATION_CS_ID,0))</f>
        <v>#N/A</v>
      </c>
      <c r="AH4" s="1288"/>
      <c r="AI4" s="1288"/>
      <c r="AJ4" s="1288"/>
      <c r="AK4" s="1288"/>
      <c r="AL4" s="1288"/>
      <c r="AM4" s="1288"/>
      <c r="AN4" s="1288"/>
      <c r="AO4" s="1288"/>
      <c r="AP4" s="1288"/>
      <c r="AQ4" s="1288"/>
      <c r="AR4" s="1289"/>
      <c r="AS4" s="729" t="s">
        <v>535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94"/>
      <c r="F5" s="1294"/>
      <c r="G5" s="1294"/>
      <c r="H5" s="1294"/>
      <c r="I5" s="1295" t="e">
        <f>S4&amp;".1"</f>
        <v>#N/A</v>
      </c>
      <c r="J5" s="769"/>
      <c r="K5" s="769"/>
      <c r="L5" s="770"/>
      <c r="P5" s="1297">
        <v>1</v>
      </c>
      <c r="Q5" s="122"/>
      <c r="R5" s="208"/>
      <c r="S5" s="709" t="e">
        <f>$I5</f>
        <v>#N/A</v>
      </c>
      <c r="T5" s="164" t="s">
        <v>487</v>
      </c>
      <c r="U5" s="171"/>
      <c r="V5" s="1364"/>
      <c r="W5" s="1365"/>
      <c r="X5" s="1365"/>
      <c r="Y5" s="1365"/>
      <c r="Z5" s="1365"/>
      <c r="AA5" s="1365"/>
      <c r="AB5" s="1365"/>
      <c r="AC5" s="1365"/>
      <c r="AD5" s="1365"/>
      <c r="AE5" s="1365"/>
      <c r="AF5" s="1366"/>
      <c r="AG5" s="1367"/>
      <c r="AH5" s="1368"/>
      <c r="AI5" s="1368"/>
      <c r="AJ5" s="1368"/>
      <c r="AK5" s="1368"/>
      <c r="AL5" s="1368"/>
      <c r="AM5" s="1368"/>
      <c r="AN5" s="1368"/>
      <c r="AO5" s="1368"/>
      <c r="AP5" s="1368"/>
      <c r="AQ5" s="1368"/>
      <c r="AR5" s="1369"/>
      <c r="AS5" s="729" t="s">
        <v>488</v>
      </c>
      <c r="AU5" s="69"/>
      <c r="AV5" s="69" t="str">
        <f t="shared" si="0"/>
        <v>Наименование признака дифференциации</v>
      </c>
      <c r="AW5" s="69"/>
      <c r="AX5" s="69"/>
      <c r="AY5" s="11">
        <v>0</v>
      </c>
    </row>
    <row r="6" spans="1:51" ht="23.25" hidden="1" customHeight="1">
      <c r="A6" s="769"/>
      <c r="B6" s="769"/>
      <c r="C6" s="769"/>
      <c r="D6" s="769"/>
      <c r="E6" s="1294"/>
      <c r="F6" s="1294"/>
      <c r="G6" s="1294"/>
      <c r="H6" s="1294"/>
      <c r="I6" s="1296"/>
      <c r="J6" s="1295" t="e">
        <f>I5&amp;".1"</f>
        <v>#N/A</v>
      </c>
      <c r="K6" s="769"/>
      <c r="L6" s="770" t="s">
        <v>412</v>
      </c>
      <c r="P6" s="1297"/>
      <c r="Q6" s="1297">
        <v>1</v>
      </c>
      <c r="R6" s="209"/>
      <c r="S6" s="709" t="e">
        <f>$J6</f>
        <v>#N/A</v>
      </c>
      <c r="T6" s="165" t="s">
        <v>413</v>
      </c>
      <c r="U6" s="171"/>
      <c r="V6" s="1281"/>
      <c r="W6" s="1282"/>
      <c r="X6" s="1282"/>
      <c r="Y6" s="1282"/>
      <c r="Z6" s="1282"/>
      <c r="AA6" s="1282"/>
      <c r="AB6" s="1282"/>
      <c r="AC6" s="1282"/>
      <c r="AD6" s="1282"/>
      <c r="AE6" s="1282"/>
      <c r="AF6" s="1283"/>
      <c r="AG6" s="1281"/>
      <c r="AH6" s="1282"/>
      <c r="AI6" s="1282"/>
      <c r="AJ6" s="1282"/>
      <c r="AK6" s="1282"/>
      <c r="AL6" s="1282"/>
      <c r="AM6" s="1282"/>
      <c r="AN6" s="1282"/>
      <c r="AO6" s="1282"/>
      <c r="AP6" s="1282"/>
      <c r="AQ6" s="1282"/>
      <c r="AR6" s="1283"/>
      <c r="AS6" s="753" t="s">
        <v>489</v>
      </c>
      <c r="AU6" s="69"/>
      <c r="AV6" s="69" t="str">
        <f t="shared" si="0"/>
        <v>Группа потребителей</v>
      </c>
      <c r="AW6" s="69"/>
      <c r="AX6" s="69"/>
      <c r="AY6" s="11">
        <v>0</v>
      </c>
    </row>
    <row r="7" spans="1:51"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306"/>
      <c r="Y7" s="306"/>
      <c r="Z7" s="306"/>
      <c r="AA7" s="306"/>
      <c r="AB7" s="728"/>
      <c r="AC7" s="1298"/>
      <c r="AD7" s="1169" t="s">
        <v>62</v>
      </c>
      <c r="AE7" s="1298"/>
      <c r="AF7" s="1169" t="s">
        <v>62</v>
      </c>
      <c r="AG7" s="306"/>
      <c r="AH7" s="306"/>
      <c r="AI7" s="306"/>
      <c r="AJ7" s="306"/>
      <c r="AK7" s="306"/>
      <c r="AL7" s="306"/>
      <c r="AM7" s="728"/>
      <c r="AN7" s="1298"/>
      <c r="AO7" s="1169" t="s">
        <v>62</v>
      </c>
      <c r="AP7" s="1300"/>
      <c r="AQ7" s="1169" t="s">
        <v>62</v>
      </c>
      <c r="AR7" s="813"/>
      <c r="AS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94"/>
      <c r="F8" s="1294"/>
      <c r="G8" s="1294"/>
      <c r="H8" s="1294"/>
      <c r="I8" s="1296"/>
      <c r="J8" s="1296"/>
      <c r="K8" s="1295"/>
      <c r="L8" s="770"/>
      <c r="P8" s="1297"/>
      <c r="Q8" s="1297"/>
      <c r="R8" s="209"/>
      <c r="S8" s="65"/>
      <c r="T8" s="171"/>
      <c r="U8" s="171"/>
      <c r="V8" s="191"/>
      <c r="W8" s="191"/>
      <c r="X8" s="191"/>
      <c r="Y8" s="191"/>
      <c r="Z8" s="191"/>
      <c r="AA8" s="191"/>
      <c r="AB8" s="192" t="str">
        <f>AC7&amp;"-"&amp;AE7</f>
        <v>-</v>
      </c>
      <c r="AC8" s="1299"/>
      <c r="AD8" s="1169"/>
      <c r="AE8" s="1299"/>
      <c r="AF8" s="1169"/>
      <c r="AG8" s="191"/>
      <c r="AH8" s="191"/>
      <c r="AI8" s="191"/>
      <c r="AJ8" s="191"/>
      <c r="AK8" s="191"/>
      <c r="AL8" s="191"/>
      <c r="AM8" s="192" t="str">
        <f>AN7&amp;"-"&amp;AP7</f>
        <v>-</v>
      </c>
      <c r="AN8" s="1299"/>
      <c r="AO8" s="1169"/>
      <c r="AP8" s="1301"/>
      <c r="AQ8" s="1169"/>
      <c r="AR8" s="388"/>
      <c r="AS8" s="1370"/>
      <c r="AU8" s="69"/>
      <c r="AV8" s="69" t="str">
        <f t="shared" si="0"/>
        <v/>
      </c>
      <c r="AW8" s="69"/>
      <c r="AX8" s="69"/>
      <c r="AY8" s="11">
        <v>0</v>
      </c>
    </row>
    <row r="9" spans="1:51" ht="21" hidden="1" customHeight="1">
      <c r="A9" s="769"/>
      <c r="B9" s="769"/>
      <c r="C9" s="769"/>
      <c r="D9" s="769"/>
      <c r="E9" s="1294"/>
      <c r="F9" s="1294"/>
      <c r="G9" s="1294"/>
      <c r="H9" s="1294"/>
      <c r="I9" s="1296"/>
      <c r="J9" s="1295"/>
      <c r="K9" s="769"/>
      <c r="L9" s="770"/>
      <c r="P9" s="1297"/>
      <c r="Q9" s="1297"/>
      <c r="R9" s="208"/>
      <c r="S9" s="742"/>
      <c r="T9" s="166" t="s">
        <v>490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491</v>
      </c>
      <c r="AU9" s="69"/>
      <c r="AV9" s="69" t="str">
        <f t="shared" si="0"/>
        <v>Добавить значение признака дифференциации</v>
      </c>
      <c r="AW9" s="69"/>
      <c r="AX9" s="69"/>
      <c r="AY9" s="11">
        <v>0</v>
      </c>
    </row>
    <row r="10" spans="1:51" ht="21" hidden="1" customHeight="1">
      <c r="A10" s="769"/>
      <c r="B10" s="769"/>
      <c r="C10" s="769"/>
      <c r="D10" s="769"/>
      <c r="E10" s="1294"/>
      <c r="F10" s="1294"/>
      <c r="G10" s="1294"/>
      <c r="H10" s="1294"/>
      <c r="I10" s="1295"/>
      <c r="J10" s="769"/>
      <c r="K10" s="769"/>
      <c r="L10" s="770"/>
      <c r="P10" s="1297"/>
      <c r="Q10" s="122"/>
      <c r="R10" s="208"/>
      <c r="S10" s="742"/>
      <c r="T10" s="211" t="s">
        <v>418</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94"/>
      <c r="F11" s="1294"/>
      <c r="G11" s="1294"/>
      <c r="H11" s="1293"/>
      <c r="I11" s="769"/>
      <c r="J11" s="769"/>
      <c r="K11" s="769"/>
      <c r="L11" s="770"/>
      <c r="M11" s="426"/>
      <c r="N11" s="426"/>
      <c r="O11" s="63"/>
      <c r="P11" s="34"/>
      <c r="Q11" s="216"/>
      <c r="R11" s="207"/>
      <c r="S11" s="742"/>
      <c r="T11" s="107" t="s">
        <v>492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421</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422</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91"/>
      <c r="AO15" s="1290" t="s">
        <v>62</v>
      </c>
      <c r="AP15" s="1291"/>
      <c r="AQ15" s="1290" t="s">
        <v>62</v>
      </c>
      <c r="AY15" s="11">
        <v>0</v>
      </c>
    </row>
    <row r="16" spans="1:51" ht="14.25" hidden="1" customHeight="1">
      <c r="AG16" s="368"/>
      <c r="AH16" s="368"/>
      <c r="AI16" s="368"/>
      <c r="AJ16" s="368"/>
      <c r="AK16" s="368"/>
      <c r="AL16" s="368"/>
      <c r="AM16" s="192" t="str">
        <f>AN15&amp;"-"&amp;AP15</f>
        <v>-</v>
      </c>
      <c r="AN16" s="1290"/>
      <c r="AO16" s="1290"/>
      <c r="AP16" s="1290"/>
      <c r="AQ16" s="1290"/>
      <c r="AY16" s="11">
        <v>0</v>
      </c>
    </row>
    <row r="17" spans="1:51" ht="14.25" hidden="1" customHeight="1">
      <c r="AY17" s="11">
        <v>0</v>
      </c>
    </row>
    <row r="18" spans="1:51" s="63" customFormat="1" ht="22.5" hidden="1" customHeight="1">
      <c r="L18" s="301"/>
      <c r="M18" s="506"/>
      <c r="N18" s="506"/>
      <c r="O18" s="771" t="s">
        <v>423</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424</v>
      </c>
      <c r="P20" s="506"/>
      <c r="Q20" s="815"/>
      <c r="R20" s="815"/>
      <c r="S20" s="426"/>
      <c r="T20" s="63" t="s">
        <v>425</v>
      </c>
      <c r="AD20" s="82" t="s">
        <v>426</v>
      </c>
      <c r="AF20" s="82" t="s">
        <v>427</v>
      </c>
      <c r="AG20" s="63" t="s">
        <v>425</v>
      </c>
      <c r="AO20" s="82" t="s">
        <v>428</v>
      </c>
      <c r="AQ20" s="82" t="s">
        <v>427</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59"/>
      <c r="AY24" s="11">
        <v>25</v>
      </c>
    </row>
    <row r="25" spans="1:51"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286"/>
      <c r="AC27" s="1286"/>
      <c r="AD27" s="1286"/>
      <c r="AE27" s="1286"/>
      <c r="AF27" s="11"/>
      <c r="AG27" s="1286" t="str">
        <f>IF(TITLE_NAME_OR_PR_CHANGE="",IF(TITLE_NAME_OR_PR="","",TITLE_NAME_OR_PR),TITLE_NAME_OR_PR_CHANGE)</f>
        <v/>
      </c>
      <c r="AH27" s="1286"/>
      <c r="AI27" s="1286"/>
      <c r="AJ27" s="1286"/>
      <c r="AK27" s="1286"/>
      <c r="AL27" s="1286"/>
      <c r="AM27" s="1286"/>
      <c r="AN27" s="1286"/>
      <c r="AO27" s="1286"/>
      <c r="AP27" s="1286"/>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285"/>
      <c r="AC28" s="1285"/>
      <c r="AD28" s="1285"/>
      <c r="AE28" s="1285"/>
      <c r="AF28" s="11"/>
      <c r="AG28" s="1285" t="str">
        <f>IF(TITLE_DATE_PR_CHANGE="",IF(TITLE_DATE_PR="","",TITLE_DATE_PR),TITLE_DATE_PR_CHANGE)</f>
        <v/>
      </c>
      <c r="AH28" s="1285"/>
      <c r="AI28" s="1285"/>
      <c r="AJ28" s="1285"/>
      <c r="AK28" s="1285"/>
      <c r="AL28" s="1285"/>
      <c r="AM28" s="1285"/>
      <c r="AN28" s="1285"/>
      <c r="AO28" s="1285"/>
      <c r="AP28" s="1285"/>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286"/>
      <c r="AC29" s="1286"/>
      <c r="AD29" s="1286"/>
      <c r="AE29" s="1286"/>
      <c r="AF29" s="11"/>
      <c r="AG29" s="1286" t="str">
        <f>IF(TITLE_NUMBER_PR_CHANGE="",IF(TITLE_NUMBER_PR="","",TITLE_NUMBER_PR),TITLE_NUMBER_PR_CHANGE)</f>
        <v/>
      </c>
      <c r="AH29" s="1286"/>
      <c r="AI29" s="1286"/>
      <c r="AJ29" s="1286"/>
      <c r="AK29" s="1286"/>
      <c r="AL29" s="1286"/>
      <c r="AM29" s="1286"/>
      <c r="AN29" s="1286"/>
      <c r="AO29" s="1286"/>
      <c r="AP29" s="1286"/>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286"/>
      <c r="AC30" s="1286"/>
      <c r="AD30" s="1286"/>
      <c r="AE30" s="1286"/>
      <c r="AF30" s="11"/>
      <c r="AG30" s="1286" t="str">
        <f>IF(TITLE_IST_PUB_CHANGE="",IF(TITLE_IST_PUB="","",TITLE_IST_PUB),TITLE_IST_PUB_CHANGE)</f>
        <v/>
      </c>
      <c r="AH30" s="1286"/>
      <c r="AI30" s="1286"/>
      <c r="AJ30" s="1286"/>
      <c r="AK30" s="1286"/>
      <c r="AL30" s="1286"/>
      <c r="AM30" s="1286"/>
      <c r="AN30" s="1286"/>
      <c r="AO30" s="1286"/>
      <c r="AP30" s="1286"/>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285"/>
      <c r="AC32" s="1285"/>
      <c r="AD32" s="1285"/>
      <c r="AE32" s="1285"/>
      <c r="AF32" s="11"/>
      <c r="AG32" s="1285" t="str">
        <f>IF(TITLE_DATE_PR_CHANGE="",IF(TITLE_DATE_PR="","",TITLE_DATE_PR),TITLE_DATE_PR_CHANGE)</f>
        <v/>
      </c>
      <c r="AH32" s="1285"/>
      <c r="AI32" s="1285"/>
      <c r="AJ32" s="1285"/>
      <c r="AK32" s="1285"/>
      <c r="AL32" s="1285"/>
      <c r="AM32" s="1285"/>
      <c r="AN32" s="1285"/>
      <c r="AO32" s="1285"/>
      <c r="AP32" s="1285"/>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286"/>
      <c r="AC33" s="1286"/>
      <c r="AD33" s="1286"/>
      <c r="AE33" s="1286"/>
      <c r="AF33" s="11"/>
      <c r="AG33" s="1286" t="str">
        <f>IF(TITLE_NUMBER_PR_CHANGE="",IF(TITLE_NUMBER_PR="","",TITLE_NUMBER_PR),TITLE_NUMBER_PR_CHANGE)</f>
        <v/>
      </c>
      <c r="AH33" s="1286"/>
      <c r="AI33" s="1286"/>
      <c r="AJ33" s="1286"/>
      <c r="AK33" s="1286"/>
      <c r="AL33" s="1286"/>
      <c r="AM33" s="1286"/>
      <c r="AN33" s="1286"/>
      <c r="AO33" s="1286"/>
      <c r="AP33" s="1286"/>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429</v>
      </c>
      <c r="AG34" s="11"/>
      <c r="AH34" s="11"/>
      <c r="AI34" s="11"/>
      <c r="AJ34" s="11"/>
      <c r="AK34" s="11"/>
      <c r="AL34" s="11"/>
      <c r="AM34" s="11"/>
      <c r="AN34" s="11"/>
      <c r="AO34" s="11"/>
      <c r="AP34" s="11"/>
      <c r="AQ34" s="68" t="s">
        <v>429</v>
      </c>
      <c r="AT34" s="69"/>
      <c r="AU34" s="69"/>
      <c r="AV34" s="69"/>
      <c r="AW34" s="69"/>
      <c r="AX34" s="69"/>
      <c r="AY34" s="35">
        <v>1</v>
      </c>
    </row>
    <row r="35" spans="1:51" ht="14.65" customHeight="1">
      <c r="Q35" s="28"/>
      <c r="R35" s="28"/>
      <c r="S35" s="739"/>
      <c r="T35" s="10"/>
      <c r="U35" s="720"/>
      <c r="V35" s="1305"/>
      <c r="W35" s="1305"/>
      <c r="X35" s="1305"/>
      <c r="Y35" s="1305"/>
      <c r="Z35" s="1305"/>
      <c r="AA35" s="1305"/>
      <c r="AB35" s="1305"/>
      <c r="AC35" s="1305"/>
      <c r="AD35" s="1305"/>
      <c r="AE35" s="1305"/>
      <c r="AF35" s="1305"/>
      <c r="AG35" s="1305"/>
      <c r="AH35" s="1305"/>
      <c r="AI35" s="1305"/>
      <c r="AJ35" s="1305"/>
      <c r="AK35" s="1305"/>
      <c r="AL35" s="1305"/>
      <c r="AM35" s="1305"/>
      <c r="AN35" s="1305"/>
      <c r="AO35" s="1305"/>
      <c r="AP35" s="1305"/>
      <c r="AQ35" s="1305"/>
      <c r="AY35" s="11">
        <v>14</v>
      </c>
    </row>
    <row r="36" spans="1:51" ht="14.65" customHeight="1">
      <c r="Q36" s="28"/>
      <c r="R36" s="28"/>
      <c r="S36" s="1159" t="s">
        <v>306</v>
      </c>
      <c r="T36" s="1159"/>
      <c r="U36" s="1159"/>
      <c r="V36" s="1159"/>
      <c r="W36" s="1159"/>
      <c r="X36" s="1159"/>
      <c r="Y36" s="1159"/>
      <c r="Z36" s="1159"/>
      <c r="AA36" s="1159"/>
      <c r="AB36" s="1159"/>
      <c r="AC36" s="1159"/>
      <c r="AD36" s="1159"/>
      <c r="AE36" s="1159"/>
      <c r="AF36" s="1159"/>
      <c r="AG36" s="1159"/>
      <c r="AH36" s="1159"/>
      <c r="AI36" s="1159"/>
      <c r="AJ36" s="1159"/>
      <c r="AK36" s="1159"/>
      <c r="AL36" s="1159"/>
      <c r="AM36" s="1159"/>
      <c r="AN36" s="1159"/>
      <c r="AO36" s="1159"/>
      <c r="AP36" s="1159"/>
      <c r="AQ36" s="1159"/>
      <c r="AR36" s="1159"/>
      <c r="AS36" s="1159" t="s">
        <v>307</v>
      </c>
      <c r="AY36" s="11">
        <v>14</v>
      </c>
    </row>
    <row r="37" spans="1:51" ht="14.65" customHeight="1">
      <c r="Q37" s="28"/>
      <c r="R37" s="28"/>
      <c r="S37" s="1306" t="s">
        <v>88</v>
      </c>
      <c r="T37" s="1254" t="s">
        <v>430</v>
      </c>
      <c r="U37" s="172"/>
      <c r="V37" s="1307" t="s">
        <v>431</v>
      </c>
      <c r="W37" s="1308"/>
      <c r="X37" s="1308"/>
      <c r="Y37" s="1308"/>
      <c r="Z37" s="1308"/>
      <c r="AA37" s="1308"/>
      <c r="AB37" s="1308"/>
      <c r="AC37" s="1308"/>
      <c r="AD37" s="1308"/>
      <c r="AE37" s="1309"/>
      <c r="AF37" s="1310" t="s">
        <v>432</v>
      </c>
      <c r="AG37" s="1307" t="s">
        <v>431</v>
      </c>
      <c r="AH37" s="1308"/>
      <c r="AI37" s="1308"/>
      <c r="AJ37" s="1308"/>
      <c r="AK37" s="1308"/>
      <c r="AL37" s="1308"/>
      <c r="AM37" s="1308"/>
      <c r="AN37" s="1308"/>
      <c r="AO37" s="1308"/>
      <c r="AP37" s="1309"/>
      <c r="AQ37" s="1310" t="s">
        <v>433</v>
      </c>
      <c r="AR37" s="1313" t="s">
        <v>434</v>
      </c>
      <c r="AS37" s="1159"/>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306"/>
      <c r="T38" s="1254"/>
      <c r="U38" s="607"/>
      <c r="V38" s="1159" t="s">
        <v>536</v>
      </c>
      <c r="W38" s="1379" t="s">
        <v>537</v>
      </c>
      <c r="X38" s="1379"/>
      <c r="Y38" s="1379"/>
      <c r="Z38" s="1379" t="s">
        <v>538</v>
      </c>
      <c r="AA38" s="1379"/>
      <c r="AB38" s="1379"/>
      <c r="AC38" s="1225" t="s">
        <v>438</v>
      </c>
      <c r="AD38" s="1335"/>
      <c r="AE38" s="1226"/>
      <c r="AF38" s="1311"/>
      <c r="AG38" s="1159" t="s">
        <v>536</v>
      </c>
      <c r="AH38" s="1379" t="s">
        <v>537</v>
      </c>
      <c r="AI38" s="1379"/>
      <c r="AJ38" s="1379"/>
      <c r="AK38" s="1379" t="s">
        <v>538</v>
      </c>
      <c r="AL38" s="1379"/>
      <c r="AM38" s="1379"/>
      <c r="AN38" s="1225" t="s">
        <v>438</v>
      </c>
      <c r="AO38" s="1335"/>
      <c r="AP38" s="1226"/>
      <c r="AQ38" s="1311"/>
      <c r="AR38" s="1314"/>
      <c r="AS38" s="1159"/>
      <c r="AT38" s="68"/>
      <c r="AU38" s="68"/>
      <c r="AV38" s="68"/>
      <c r="AW38" s="68"/>
      <c r="AX38" s="68"/>
      <c r="AY38" s="11">
        <v>19</v>
      </c>
    </row>
    <row r="39" spans="1:51" ht="19.899999999999999" customHeight="1">
      <c r="Q39" s="28"/>
      <c r="R39" s="28"/>
      <c r="S39" s="1306"/>
      <c r="T39" s="1254"/>
      <c r="U39" s="607"/>
      <c r="V39" s="1159"/>
      <c r="W39" s="1379" t="s">
        <v>539</v>
      </c>
      <c r="X39" s="1379" t="s">
        <v>540</v>
      </c>
      <c r="Y39" s="1379"/>
      <c r="Z39" s="1379" t="s">
        <v>541</v>
      </c>
      <c r="AA39" s="1379" t="s">
        <v>540</v>
      </c>
      <c r="AB39" s="1379"/>
      <c r="AC39" s="1230"/>
      <c r="AD39" s="1336"/>
      <c r="AE39" s="1231"/>
      <c r="AF39" s="1311"/>
      <c r="AG39" s="1159"/>
      <c r="AH39" s="1379" t="s">
        <v>539</v>
      </c>
      <c r="AI39" s="1379" t="s">
        <v>540</v>
      </c>
      <c r="AJ39" s="1379"/>
      <c r="AK39" s="1379" t="s">
        <v>541</v>
      </c>
      <c r="AL39" s="1379" t="s">
        <v>540</v>
      </c>
      <c r="AM39" s="1379"/>
      <c r="AN39" s="1230"/>
      <c r="AO39" s="1336"/>
      <c r="AP39" s="1231"/>
      <c r="AQ39" s="1311"/>
      <c r="AR39" s="1314"/>
      <c r="AS39" s="1159"/>
      <c r="AY39" s="11">
        <v>19</v>
      </c>
    </row>
    <row r="40" spans="1:51" ht="61.9" customHeight="1">
      <c r="A40" s="82"/>
      <c r="B40" s="82" t="s">
        <v>143</v>
      </c>
      <c r="C40" s="82" t="s">
        <v>144</v>
      </c>
      <c r="D40" s="82" t="s">
        <v>145</v>
      </c>
      <c r="E40" s="770" t="s">
        <v>439</v>
      </c>
      <c r="F40" s="770" t="s">
        <v>440</v>
      </c>
      <c r="G40" s="770" t="s">
        <v>441</v>
      </c>
      <c r="H40" s="770"/>
      <c r="I40" s="770" t="s">
        <v>494</v>
      </c>
      <c r="J40" s="770" t="s">
        <v>444</v>
      </c>
      <c r="K40" s="770" t="s">
        <v>495</v>
      </c>
      <c r="L40" s="770" t="s">
        <v>424</v>
      </c>
      <c r="Q40" s="28"/>
      <c r="R40" s="28"/>
      <c r="S40" s="1306"/>
      <c r="T40" s="1254"/>
      <c r="U40" s="173"/>
      <c r="V40" s="1159"/>
      <c r="W40" s="1379"/>
      <c r="X40" s="1050" t="s">
        <v>542</v>
      </c>
      <c r="Y40" s="1050" t="s">
        <v>543</v>
      </c>
      <c r="Z40" s="1379"/>
      <c r="AA40" s="1050" t="s">
        <v>544</v>
      </c>
      <c r="AB40" s="1050" t="s">
        <v>545</v>
      </c>
      <c r="AC40" s="39" t="s">
        <v>448</v>
      </c>
      <c r="AD40" s="1259" t="s">
        <v>449</v>
      </c>
      <c r="AE40" s="1273"/>
      <c r="AF40" s="1312"/>
      <c r="AG40" s="1159"/>
      <c r="AH40" s="1379"/>
      <c r="AI40" s="1050" t="s">
        <v>542</v>
      </c>
      <c r="AJ40" s="1050" t="s">
        <v>543</v>
      </c>
      <c r="AK40" s="1379"/>
      <c r="AL40" s="1050" t="s">
        <v>544</v>
      </c>
      <c r="AM40" s="1050" t="s">
        <v>545</v>
      </c>
      <c r="AN40" s="39" t="s">
        <v>448</v>
      </c>
      <c r="AO40" s="1259" t="s">
        <v>449</v>
      </c>
      <c r="AP40" s="1273"/>
      <c r="AQ40" s="1312"/>
      <c r="AR40" s="1315"/>
      <c r="AS40" s="1159"/>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727"/>
      <c r="X41" s="727"/>
      <c r="Y41" s="727"/>
      <c r="Z41" s="727"/>
      <c r="AA41" s="727"/>
      <c r="AB41" s="727">
        <f ca="1">OFFSET(AB41,0,-1)+1</f>
        <v>1</v>
      </c>
      <c r="AC41" s="727">
        <f ca="1">OFFSET(AC41,0,-1)+1</f>
        <v>2</v>
      </c>
      <c r="AD41" s="1304">
        <f ca="1">OFFSET(AD41,0,-1)+1</f>
        <v>3</v>
      </c>
      <c r="AE41" s="1304"/>
      <c r="AF41" s="727">
        <f ca="1">OFFSET(AF41,0,-2)+1</f>
        <v>4</v>
      </c>
      <c r="AG41" s="727">
        <f ca="1">OFFSET(AG41,0,-1)+1</f>
        <v>5</v>
      </c>
      <c r="AH41" s="727"/>
      <c r="AI41" s="727"/>
      <c r="AJ41" s="727"/>
      <c r="AK41" s="727"/>
      <c r="AL41" s="727"/>
      <c r="AM41" s="727">
        <f ca="1">OFFSET(AM41,0,-1)+1</f>
        <v>1</v>
      </c>
      <c r="AN41" s="727">
        <f ca="1">OFFSET(AN41,0,-1)+1</f>
        <v>2</v>
      </c>
      <c r="AO41" s="1304">
        <f ca="1">OFFSET(AO41,0,-1)+1</f>
        <v>3</v>
      </c>
      <c r="AP41" s="1304"/>
      <c r="AQ41" s="727">
        <f ca="1">OFFSET(AQ41,0,-2)+1</f>
        <v>4</v>
      </c>
      <c r="AR41" s="721">
        <f ca="1">OFFSET(AR41,0,-1)</f>
        <v>4</v>
      </c>
      <c r="AS41" s="727">
        <f ca="1">OFFSET(AS41,0,-1)+1</f>
        <v>5</v>
      </c>
      <c r="AT41" s="68"/>
      <c r="AU41" s="68"/>
      <c r="AV41" s="68"/>
      <c r="AW41" s="68"/>
      <c r="AX41" s="68"/>
      <c r="AY41" s="203">
        <v>0</v>
      </c>
    </row>
    <row r="42" spans="1:51" ht="24" customHeight="1">
      <c r="A42" s="769" t="s">
        <v>262</v>
      </c>
      <c r="B42" s="769"/>
      <c r="C42" s="769"/>
      <c r="D42" s="769"/>
      <c r="E42" s="1293">
        <v>1</v>
      </c>
      <c r="F42" s="769"/>
      <c r="G42" s="769"/>
      <c r="H42" s="769"/>
      <c r="I42" s="769"/>
      <c r="J42" s="769"/>
      <c r="K42" s="769"/>
      <c r="L42" s="770"/>
      <c r="M42" s="426"/>
      <c r="N42" s="426"/>
      <c r="O42" s="426"/>
      <c r="Q42" s="34"/>
      <c r="R42" s="207"/>
      <c r="S42" s="709">
        <f>INDEX(PT_DIFFERENTIATION_NUM_NTAR,MATCH(A42,PT_DIFFERENTIATION_NTAR_ID,0))</f>
        <v>0</v>
      </c>
      <c r="T42" s="67" t="s">
        <v>131</v>
      </c>
      <c r="U42" s="171"/>
      <c r="V42" s="1287"/>
      <c r="W42" s="1288"/>
      <c r="X42" s="1288"/>
      <c r="Y42" s="1288"/>
      <c r="Z42" s="1288"/>
      <c r="AA42" s="1288"/>
      <c r="AB42" s="1288"/>
      <c r="AC42" s="1288"/>
      <c r="AD42" s="1288"/>
      <c r="AE42" s="1288"/>
      <c r="AF42" s="1289"/>
      <c r="AG42" s="1287" t="str">
        <f>INDEX(PT_DIFFERENTIATION_NTAR,MATCH(A42,PT_DIFFERENTIATION_NTAR_ID,0))</f>
        <v/>
      </c>
      <c r="AH42" s="1288"/>
      <c r="AI42" s="1288"/>
      <c r="AJ42" s="1288"/>
      <c r="AK42" s="1288"/>
      <c r="AL42" s="1288"/>
      <c r="AM42" s="1288"/>
      <c r="AN42" s="1288"/>
      <c r="AO42" s="1288"/>
      <c r="AP42" s="1288"/>
      <c r="AQ42" s="1288"/>
      <c r="AR42" s="1289"/>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262</v>
      </c>
      <c r="B43" s="769" t="s">
        <v>263</v>
      </c>
      <c r="C43" s="769"/>
      <c r="D43" s="769"/>
      <c r="E43" s="1294"/>
      <c r="F43" s="1293">
        <v>1</v>
      </c>
      <c r="G43" s="769"/>
      <c r="H43" s="769"/>
      <c r="I43" s="769"/>
      <c r="J43" s="769"/>
      <c r="K43" s="769"/>
      <c r="L43" s="770"/>
      <c r="M43" s="426"/>
      <c r="N43" s="426"/>
      <c r="O43" s="426"/>
      <c r="P43" s="58"/>
      <c r="Q43" s="204"/>
      <c r="R43" s="205"/>
      <c r="S43" s="709" t="str">
        <f>INDEX(PT_DIFFERENTIATION_NUM_TER,MATCH(B43,PT_DIFFERENTIATION_TER_ID,0))</f>
        <v>.</v>
      </c>
      <c r="T43" s="177" t="s">
        <v>403</v>
      </c>
      <c r="U43" s="171"/>
      <c r="V43" s="1287"/>
      <c r="W43" s="1288"/>
      <c r="X43" s="1288"/>
      <c r="Y43" s="1288"/>
      <c r="Z43" s="1288"/>
      <c r="AA43" s="1288"/>
      <c r="AB43" s="1288"/>
      <c r="AC43" s="1288"/>
      <c r="AD43" s="1288"/>
      <c r="AE43" s="1288"/>
      <c r="AF43" s="1289"/>
      <c r="AG43" s="1287" t="str">
        <f>INDEX(PT_DIFFERENTIATION_TER,MATCH(B43,PT_DIFFERENTIATION_TER_ID,0))</f>
        <v/>
      </c>
      <c r="AH43" s="1288"/>
      <c r="AI43" s="1288"/>
      <c r="AJ43" s="1288"/>
      <c r="AK43" s="1288"/>
      <c r="AL43" s="1288"/>
      <c r="AM43" s="1288"/>
      <c r="AN43" s="1288"/>
      <c r="AO43" s="1288"/>
      <c r="AP43" s="1288"/>
      <c r="AQ43" s="1288"/>
      <c r="AR43" s="1289"/>
      <c r="AS43" s="729" t="s">
        <v>404</v>
      </c>
      <c r="AU43" s="69"/>
      <c r="AV43" s="69" t="str">
        <f t="shared" si="1"/>
        <v>Территория действия тарифа</v>
      </c>
      <c r="AW43" s="69"/>
      <c r="AX43" s="69"/>
      <c r="AY43" s="11">
        <v>23</v>
      </c>
    </row>
    <row r="44" spans="1:51" ht="24" customHeight="1">
      <c r="A44" s="769" t="s">
        <v>262</v>
      </c>
      <c r="B44" s="769" t="s">
        <v>263</v>
      </c>
      <c r="C44" s="769" t="s">
        <v>264</v>
      </c>
      <c r="D44" s="769"/>
      <c r="E44" s="1294"/>
      <c r="F44" s="1294"/>
      <c r="G44" s="1293">
        <v>1</v>
      </c>
      <c r="H44" s="769"/>
      <c r="I44" s="769"/>
      <c r="J44" s="769"/>
      <c r="K44" s="769"/>
      <c r="L44" s="770"/>
      <c r="M44" s="426"/>
      <c r="N44" s="426"/>
      <c r="O44" s="426"/>
      <c r="P44" s="206"/>
      <c r="Q44" s="204"/>
      <c r="R44" s="205"/>
      <c r="S44" s="709" t="str">
        <f>INDEX(PT_DIFFERENTIATION_NUM_CS,MATCH(C44,PT_DIFFERENTIATION_CS_ID,0))</f>
        <v>..</v>
      </c>
      <c r="T44" s="178" t="s">
        <v>534</v>
      </c>
      <c r="U44" s="171"/>
      <c r="V44" s="1287"/>
      <c r="W44" s="1288"/>
      <c r="X44" s="1288"/>
      <c r="Y44" s="1288"/>
      <c r="Z44" s="1288"/>
      <c r="AA44" s="1288"/>
      <c r="AB44" s="1288"/>
      <c r="AC44" s="1288"/>
      <c r="AD44" s="1288"/>
      <c r="AE44" s="1288"/>
      <c r="AF44" s="1289"/>
      <c r="AG44" s="1287" t="str">
        <f>INDEX(PT_DIFFERENTIATION_CS,MATCH(C44,PT_DIFFERENTIATION_CS_ID,0))</f>
        <v/>
      </c>
      <c r="AH44" s="1288"/>
      <c r="AI44" s="1288"/>
      <c r="AJ44" s="1288"/>
      <c r="AK44" s="1288"/>
      <c r="AL44" s="1288"/>
      <c r="AM44" s="1288"/>
      <c r="AN44" s="1288"/>
      <c r="AO44" s="1288"/>
      <c r="AP44" s="1288"/>
      <c r="AQ44" s="1288"/>
      <c r="AR44" s="1289"/>
      <c r="AS44" s="729" t="s">
        <v>535</v>
      </c>
      <c r="AU44" s="69"/>
      <c r="AV44" s="69" t="str">
        <f t="shared" si="1"/>
        <v>Наименование централизованной системы горячего водоснабжения</v>
      </c>
      <c r="AW44" s="69"/>
      <c r="AX44" s="69"/>
      <c r="AY44" s="11">
        <v>23</v>
      </c>
    </row>
    <row r="45" spans="1:51" ht="24" customHeight="1">
      <c r="A45" s="769" t="s">
        <v>262</v>
      </c>
      <c r="B45" s="769" t="s">
        <v>263</v>
      </c>
      <c r="C45" s="769" t="s">
        <v>264</v>
      </c>
      <c r="D45" s="769" t="s">
        <v>547</v>
      </c>
      <c r="E45" s="1294"/>
      <c r="F45" s="1294"/>
      <c r="G45" s="1294"/>
      <c r="H45" s="1294"/>
      <c r="I45" s="1295" t="str">
        <f>S44&amp;".1"</f>
        <v>...1</v>
      </c>
      <c r="J45" s="769"/>
      <c r="K45" s="769"/>
      <c r="L45" s="770"/>
      <c r="P45" s="1297">
        <v>1</v>
      </c>
      <c r="Q45" s="122"/>
      <c r="R45" s="208"/>
      <c r="S45" s="709" t="str">
        <f>$I45</f>
        <v>...1</v>
      </c>
      <c r="T45" s="164" t="s">
        <v>487</v>
      </c>
      <c r="U45" s="171"/>
      <c r="V45" s="1364"/>
      <c r="W45" s="1365"/>
      <c r="X45" s="1365"/>
      <c r="Y45" s="1365"/>
      <c r="Z45" s="1365"/>
      <c r="AA45" s="1365"/>
      <c r="AB45" s="1365"/>
      <c r="AC45" s="1365"/>
      <c r="AD45" s="1365"/>
      <c r="AE45" s="1365"/>
      <c r="AF45" s="1366"/>
      <c r="AG45" s="1367"/>
      <c r="AH45" s="1368"/>
      <c r="AI45" s="1368"/>
      <c r="AJ45" s="1368"/>
      <c r="AK45" s="1368"/>
      <c r="AL45" s="1368"/>
      <c r="AM45" s="1368"/>
      <c r="AN45" s="1368"/>
      <c r="AO45" s="1368"/>
      <c r="AP45" s="1368"/>
      <c r="AQ45" s="1368"/>
      <c r="AR45" s="1369"/>
      <c r="AS45" s="729" t="s">
        <v>488</v>
      </c>
      <c r="AU45" s="69"/>
      <c r="AV45" s="69" t="str">
        <f t="shared" si="1"/>
        <v>Наименование признака дифференциации</v>
      </c>
      <c r="AW45" s="69"/>
      <c r="AX45" s="69"/>
      <c r="AY45" s="11">
        <v>23</v>
      </c>
    </row>
    <row r="46" spans="1:51" ht="24" customHeight="1">
      <c r="A46" s="769" t="s">
        <v>262</v>
      </c>
      <c r="B46" s="769" t="s">
        <v>263</v>
      </c>
      <c r="C46" s="769" t="s">
        <v>264</v>
      </c>
      <c r="D46" s="769" t="s">
        <v>547</v>
      </c>
      <c r="E46" s="1294"/>
      <c r="F46" s="1294"/>
      <c r="G46" s="1294"/>
      <c r="H46" s="1294"/>
      <c r="I46" s="1296"/>
      <c r="J46" s="1295" t="str">
        <f>I45&amp;".1"</f>
        <v>...1.1</v>
      </c>
      <c r="K46" s="769"/>
      <c r="L46" s="770" t="s">
        <v>412</v>
      </c>
      <c r="P46" s="1297"/>
      <c r="Q46" s="1297">
        <v>1</v>
      </c>
      <c r="R46" s="209"/>
      <c r="S46" s="709" t="str">
        <f>$J46</f>
        <v>...1.1</v>
      </c>
      <c r="T46" s="165" t="s">
        <v>413</v>
      </c>
      <c r="U46" s="171"/>
      <c r="V46" s="1281"/>
      <c r="W46" s="1282"/>
      <c r="X46" s="1282"/>
      <c r="Y46" s="1282"/>
      <c r="Z46" s="1282"/>
      <c r="AA46" s="1282"/>
      <c r="AB46" s="1282"/>
      <c r="AC46" s="1282"/>
      <c r="AD46" s="1282"/>
      <c r="AE46" s="1282"/>
      <c r="AF46" s="1283"/>
      <c r="AG46" s="1281"/>
      <c r="AH46" s="1282"/>
      <c r="AI46" s="1282"/>
      <c r="AJ46" s="1282"/>
      <c r="AK46" s="1282"/>
      <c r="AL46" s="1282"/>
      <c r="AM46" s="1282"/>
      <c r="AN46" s="1282"/>
      <c r="AO46" s="1282"/>
      <c r="AP46" s="1282"/>
      <c r="AQ46" s="1282"/>
      <c r="AR46" s="1283"/>
      <c r="AS46" s="753" t="s">
        <v>489</v>
      </c>
      <c r="AU46" s="69"/>
      <c r="AV46" s="69" t="str">
        <f t="shared" si="1"/>
        <v>Группа потребителей</v>
      </c>
      <c r="AW46" s="69"/>
      <c r="AX46" s="69"/>
      <c r="AY46" s="11">
        <v>23</v>
      </c>
    </row>
    <row r="47" spans="1:51" ht="24" customHeight="1">
      <c r="A47" s="769" t="s">
        <v>262</v>
      </c>
      <c r="B47" s="769" t="s">
        <v>263</v>
      </c>
      <c r="C47" s="769" t="s">
        <v>264</v>
      </c>
      <c r="D47" s="769" t="s">
        <v>547</v>
      </c>
      <c r="E47" s="1294"/>
      <c r="F47" s="1294"/>
      <c r="G47" s="1294"/>
      <c r="H47" s="1294"/>
      <c r="I47" s="1296"/>
      <c r="J47" s="1296"/>
      <c r="K47" s="1295" t="str">
        <f>J46&amp;".1"</f>
        <v>...1.1.1</v>
      </c>
      <c r="L47" s="770"/>
      <c r="P47" s="1297"/>
      <c r="Q47" s="1297"/>
      <c r="R47" s="209">
        <v>1</v>
      </c>
      <c r="S47" s="709" t="str">
        <f>$K47</f>
        <v>...1.1.1</v>
      </c>
      <c r="T47" s="812"/>
      <c r="U47" s="171"/>
      <c r="V47" s="368"/>
      <c r="W47" s="368"/>
      <c r="X47" s="368"/>
      <c r="Y47" s="368"/>
      <c r="Z47" s="368"/>
      <c r="AA47" s="368"/>
      <c r="AB47" s="768"/>
      <c r="AC47" s="1291"/>
      <c r="AD47" s="1290" t="s">
        <v>62</v>
      </c>
      <c r="AE47" s="1291"/>
      <c r="AF47" s="1290" t="s">
        <v>62</v>
      </c>
      <c r="AG47" s="306"/>
      <c r="AH47" s="306"/>
      <c r="AI47" s="306"/>
      <c r="AJ47" s="306"/>
      <c r="AK47" s="306"/>
      <c r="AL47" s="306"/>
      <c r="AM47" s="728"/>
      <c r="AN47" s="1298"/>
      <c r="AO47" s="1169" t="s">
        <v>62</v>
      </c>
      <c r="AP47" s="1300"/>
      <c r="AQ47" s="1169" t="s">
        <v>19</v>
      </c>
      <c r="AR47" s="813"/>
      <c r="AS4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262</v>
      </c>
      <c r="B48" s="769" t="s">
        <v>263</v>
      </c>
      <c r="C48" s="769" t="s">
        <v>264</v>
      </c>
      <c r="D48" s="769" t="s">
        <v>547</v>
      </c>
      <c r="E48" s="1294"/>
      <c r="F48" s="1294"/>
      <c r="G48" s="1294"/>
      <c r="H48" s="1294"/>
      <c r="I48" s="1296"/>
      <c r="J48" s="1296"/>
      <c r="K48" s="1295"/>
      <c r="L48" s="770"/>
      <c r="P48" s="1297"/>
      <c r="Q48" s="1297"/>
      <c r="R48" s="209"/>
      <c r="S48" s="65"/>
      <c r="T48" s="171"/>
      <c r="U48" s="171"/>
      <c r="V48" s="368"/>
      <c r="W48" s="368"/>
      <c r="X48" s="368"/>
      <c r="Y48" s="368"/>
      <c r="Z48" s="368"/>
      <c r="AA48" s="368"/>
      <c r="AB48" s="192" t="str">
        <f>AC47&amp;"-"&amp;AE47</f>
        <v>-</v>
      </c>
      <c r="AC48" s="1290"/>
      <c r="AD48" s="1290"/>
      <c r="AE48" s="1290"/>
      <c r="AF48" s="1290"/>
      <c r="AG48" s="191"/>
      <c r="AH48" s="191"/>
      <c r="AI48" s="191"/>
      <c r="AJ48" s="191"/>
      <c r="AK48" s="191"/>
      <c r="AL48" s="191"/>
      <c r="AM48" s="192" t="str">
        <f>AN47&amp;"-"&amp;AP47</f>
        <v>-</v>
      </c>
      <c r="AN48" s="1299"/>
      <c r="AO48" s="1169"/>
      <c r="AP48" s="1301"/>
      <c r="AQ48" s="1169"/>
      <c r="AR48" s="388"/>
      <c r="AS48" s="1370"/>
      <c r="AU48" s="69"/>
      <c r="AV48" s="69" t="str">
        <f t="shared" si="1"/>
        <v/>
      </c>
      <c r="AW48" s="69"/>
      <c r="AX48" s="69"/>
      <c r="AY48" s="11">
        <v>0</v>
      </c>
    </row>
    <row r="49" spans="1:51" ht="21" customHeight="1">
      <c r="A49" s="769" t="s">
        <v>262</v>
      </c>
      <c r="B49" s="769" t="s">
        <v>263</v>
      </c>
      <c r="C49" s="769" t="s">
        <v>264</v>
      </c>
      <c r="D49" s="769" t="s">
        <v>547</v>
      </c>
      <c r="E49" s="1294"/>
      <c r="F49" s="1294"/>
      <c r="G49" s="1294"/>
      <c r="H49" s="1294"/>
      <c r="I49" s="1296"/>
      <c r="J49" s="1295"/>
      <c r="K49" s="769"/>
      <c r="L49" s="770"/>
      <c r="P49" s="1297"/>
      <c r="Q49" s="1297"/>
      <c r="R49" s="208"/>
      <c r="S49" s="742"/>
      <c r="T49" s="166" t="s">
        <v>490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491</v>
      </c>
      <c r="AU49" s="69"/>
      <c r="AV49" s="69" t="str">
        <f t="shared" si="1"/>
        <v>Добавить значение признака дифференциации</v>
      </c>
      <c r="AW49" s="69"/>
      <c r="AX49" s="69"/>
      <c r="AY49" s="11">
        <v>20</v>
      </c>
    </row>
    <row r="50" spans="1:51" ht="21.95" customHeight="1">
      <c r="A50" s="769" t="s">
        <v>262</v>
      </c>
      <c r="B50" s="769" t="s">
        <v>263</v>
      </c>
      <c r="C50" s="769" t="s">
        <v>264</v>
      </c>
      <c r="D50" s="769" t="s">
        <v>547</v>
      </c>
      <c r="E50" s="1294"/>
      <c r="F50" s="1294"/>
      <c r="G50" s="1294"/>
      <c r="H50" s="1294"/>
      <c r="I50" s="1295"/>
      <c r="J50" s="769"/>
      <c r="K50" s="769"/>
      <c r="L50" s="770"/>
      <c r="P50" s="1297"/>
      <c r="Q50" s="122"/>
      <c r="R50" s="208"/>
      <c r="S50" s="742"/>
      <c r="T50" s="211" t="s">
        <v>418</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262</v>
      </c>
      <c r="B51" s="769" t="s">
        <v>263</v>
      </c>
      <c r="C51" s="769" t="s">
        <v>264</v>
      </c>
      <c r="D51" s="769" t="s">
        <v>547</v>
      </c>
      <c r="E51" s="1294"/>
      <c r="F51" s="1294"/>
      <c r="G51" s="1294"/>
      <c r="H51" s="1293"/>
      <c r="I51" s="769"/>
      <c r="J51" s="769"/>
      <c r="K51" s="769"/>
      <c r="L51" s="770"/>
      <c r="M51" s="426"/>
      <c r="N51" s="426"/>
      <c r="O51" s="63"/>
      <c r="P51" s="34"/>
      <c r="Q51" s="216"/>
      <c r="R51" s="207"/>
      <c r="S51" s="742"/>
      <c r="T51" s="107" t="s">
        <v>492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262</v>
      </c>
      <c r="B52" s="145" t="s">
        <v>263</v>
      </c>
      <c r="C52" s="145"/>
      <c r="D52" s="145"/>
      <c r="E52" s="1294"/>
      <c r="F52" s="1293"/>
      <c r="G52" s="145"/>
      <c r="H52" s="145"/>
      <c r="I52" s="145"/>
      <c r="J52" s="145"/>
      <c r="K52" s="145"/>
      <c r="L52" s="346"/>
      <c r="M52" s="759"/>
      <c r="N52" s="759"/>
      <c r="P52" s="104"/>
      <c r="Q52" s="755"/>
      <c r="R52" s="104"/>
      <c r="S52" s="760"/>
      <c r="T52" s="762" t="s">
        <v>421</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262</v>
      </c>
      <c r="B53" s="145"/>
      <c r="C53" s="145"/>
      <c r="D53" s="145"/>
      <c r="E53" s="1293"/>
      <c r="F53" s="145"/>
      <c r="G53" s="145"/>
      <c r="H53" s="145"/>
      <c r="I53" s="145"/>
      <c r="J53" s="145"/>
      <c r="K53" s="145"/>
      <c r="L53" s="346"/>
      <c r="M53" s="759"/>
      <c r="N53" s="759"/>
      <c r="P53" s="104"/>
      <c r="Q53" s="755"/>
      <c r="R53" s="104"/>
      <c r="S53" s="760"/>
      <c r="T53" s="762" t="s">
        <v>422</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450</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92"/>
      <c r="U56" s="1292"/>
      <c r="V56" s="1292"/>
      <c r="W56" s="1292"/>
      <c r="X56" s="1292"/>
      <c r="Y56" s="1292"/>
      <c r="Z56" s="1292"/>
      <c r="AA56" s="1292"/>
      <c r="AB56" s="1292"/>
      <c r="AC56" s="1292"/>
      <c r="AD56" s="1292"/>
      <c r="AE56" s="1292"/>
      <c r="AF56" s="1292"/>
      <c r="AG56" s="1292"/>
      <c r="AH56" s="1292"/>
      <c r="AI56" s="1292"/>
      <c r="AJ56" s="1292"/>
      <c r="AK56" s="1292"/>
      <c r="AL56" s="1292"/>
      <c r="AM56" s="1292"/>
      <c r="AN56" s="1292"/>
      <c r="AO56" s="1292"/>
      <c r="AP56" s="1292"/>
      <c r="AQ56" s="1292"/>
      <c r="AR56" s="1292"/>
      <c r="AS56" s="1292"/>
      <c r="AY56" s="11">
        <v>14</v>
      </c>
    </row>
    <row r="57" spans="1:51" ht="14.65" customHeight="1">
      <c r="O57" s="63"/>
      <c r="AY57" s="11">
        <v>14</v>
      </c>
    </row>
    <row r="58" spans="1:51" ht="14.65" customHeight="1">
      <c r="O58" s="63"/>
      <c r="S58" s="198"/>
      <c r="T58" s="1292"/>
      <c r="U58" s="1292"/>
      <c r="V58" s="1292"/>
      <c r="W58" s="1292"/>
      <c r="X58" s="1292"/>
      <c r="Y58" s="1292"/>
      <c r="Z58" s="1292"/>
      <c r="AA58" s="1292"/>
      <c r="AB58" s="1292"/>
      <c r="AC58" s="1292"/>
      <c r="AD58" s="1292"/>
      <c r="AE58" s="1292"/>
      <c r="AF58" s="1292"/>
      <c r="AG58" s="1292"/>
      <c r="AH58" s="1292"/>
      <c r="AI58" s="1292"/>
      <c r="AJ58" s="1292"/>
      <c r="AK58" s="1292"/>
      <c r="AL58" s="1292"/>
      <c r="AM58" s="1292"/>
      <c r="AN58" s="1292"/>
      <c r="AO58" s="1292"/>
      <c r="AP58" s="1292"/>
      <c r="AQ58" s="1292"/>
      <c r="AR58" s="1292"/>
      <c r="AS58" s="1292"/>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93">
        <v>1</v>
      </c>
      <c r="F2" s="769"/>
      <c r="G2" s="769"/>
      <c r="H2" s="769"/>
      <c r="I2" s="769"/>
      <c r="J2" s="769"/>
      <c r="K2" s="769"/>
      <c r="L2" s="770"/>
      <c r="M2" s="426"/>
      <c r="N2" s="426"/>
      <c r="O2" s="426"/>
      <c r="Q2" s="62"/>
      <c r="R2" s="207"/>
      <c r="S2" s="709" t="e">
        <f>INDEX(PT_DIFFERENTIATION_NUM_NTAR,MATCH(A2,PT_DIFFERENTIATION_NTAR_ID,0))</f>
        <v>#N/A</v>
      </c>
      <c r="T2" s="67" t="s">
        <v>131</v>
      </c>
      <c r="U2" s="171"/>
      <c r="V2" s="1288"/>
      <c r="W2" s="1288"/>
      <c r="X2" s="1288"/>
      <c r="Y2" s="1288"/>
      <c r="Z2" s="1288"/>
      <c r="AA2" s="1288"/>
      <c r="AB2" s="1288"/>
      <c r="AC2" s="1289"/>
      <c r="AD2" s="1287" t="e">
        <f>INDEX(PT_DIFFERENTIATION_NTAR,MATCH(A2,PT_DIFFERENTIATION_NTAR_ID,0))</f>
        <v>#N/A</v>
      </c>
      <c r="AE2" s="1288"/>
      <c r="AF2" s="1288"/>
      <c r="AG2" s="1288"/>
      <c r="AH2" s="1288"/>
      <c r="AI2" s="1288"/>
      <c r="AJ2" s="1288"/>
      <c r="AK2" s="1288"/>
      <c r="AL2" s="1288"/>
      <c r="AM2" s="1288"/>
      <c r="AN2" s="1288"/>
      <c r="AO2" s="1288"/>
      <c r="AP2" s="1288"/>
      <c r="AQ2" s="1288"/>
      <c r="AR2" s="1288"/>
      <c r="AS2" s="1288"/>
      <c r="AT2" s="1288"/>
      <c r="AU2" s="1288"/>
      <c r="AV2" s="1288"/>
      <c r="AW2" s="1288"/>
      <c r="AX2" s="1288"/>
      <c r="AY2" s="1288"/>
      <c r="AZ2" s="1288"/>
      <c r="BA2" s="1288"/>
      <c r="BB2" s="1289"/>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4"/>
      <c r="F3" s="1293">
        <v>1</v>
      </c>
      <c r="G3" s="769"/>
      <c r="H3" s="769"/>
      <c r="I3" s="769"/>
      <c r="J3" s="769"/>
      <c r="K3" s="769"/>
      <c r="L3" s="770"/>
      <c r="M3" s="426"/>
      <c r="N3" s="426"/>
      <c r="O3" s="426"/>
      <c r="P3" s="301"/>
      <c r="Q3" s="802"/>
      <c r="R3" s="205"/>
      <c r="S3" s="709" t="e">
        <f>INDEX(PT_DIFFERENTIATION_NUM_TER,MATCH(B3,PT_DIFFERENTIATION_TER_ID,0))</f>
        <v>#N/A</v>
      </c>
      <c r="T3" s="177" t="s">
        <v>403</v>
      </c>
      <c r="U3" s="171"/>
      <c r="V3" s="1288"/>
      <c r="W3" s="1288"/>
      <c r="X3" s="1288"/>
      <c r="Y3" s="1288"/>
      <c r="Z3" s="1288"/>
      <c r="AA3" s="1288"/>
      <c r="AB3" s="1288"/>
      <c r="AC3" s="1289"/>
      <c r="AD3" s="1287" t="e">
        <f>INDEX(PT_DIFFERENTIATION_TER,MATCH(B3,PT_DIFFERENTIATION_TER_ID,0))</f>
        <v>#N/A</v>
      </c>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9"/>
      <c r="BC3" s="729" t="s">
        <v>404</v>
      </c>
      <c r="BE3" s="69"/>
      <c r="BF3" s="69" t="str">
        <f t="shared" si="0"/>
        <v>Территория действия тарифа</v>
      </c>
      <c r="BG3" s="69"/>
      <c r="BH3" s="69"/>
      <c r="BI3" s="11">
        <v>0</v>
      </c>
    </row>
    <row r="4" spans="1:61" ht="33.75" hidden="1" customHeight="1">
      <c r="A4" s="769"/>
      <c r="B4" s="769"/>
      <c r="C4" s="769"/>
      <c r="D4" s="769"/>
      <c r="E4" s="1294"/>
      <c r="F4" s="1294"/>
      <c r="G4" s="1293">
        <v>1</v>
      </c>
      <c r="H4" s="769"/>
      <c r="I4" s="769"/>
      <c r="J4" s="769"/>
      <c r="K4" s="769"/>
      <c r="L4" s="770"/>
      <c r="M4" s="426"/>
      <c r="N4" s="426"/>
      <c r="O4" s="426"/>
      <c r="P4" s="131"/>
      <c r="Q4" s="802"/>
      <c r="R4" s="205"/>
      <c r="S4" s="709" t="e">
        <f>INDEX(PT_DIFFERENTIATION_NUM_CS,MATCH(C4,PT_DIFFERENTIATION_CS_ID,0))</f>
        <v>#N/A</v>
      </c>
      <c r="T4" s="178" t="s">
        <v>534</v>
      </c>
      <c r="U4" s="171"/>
      <c r="V4" s="1288"/>
      <c r="W4" s="1288"/>
      <c r="X4" s="1288"/>
      <c r="Y4" s="1288"/>
      <c r="Z4" s="1288"/>
      <c r="AA4" s="1288"/>
      <c r="AB4" s="1288"/>
      <c r="AC4" s="1289"/>
      <c r="AD4" s="1287" t="e">
        <f>INDEX(PT_DIFFERENTIATION_CS,MATCH(C4,PT_DIFFERENTIATION_CS_ID,0))</f>
        <v>#N/A</v>
      </c>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9"/>
      <c r="BC4" s="729" t="s">
        <v>535</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94"/>
      <c r="F5" s="1294"/>
      <c r="G5" s="1294"/>
      <c r="H5" s="1293">
        <v>1</v>
      </c>
      <c r="I5" s="145"/>
      <c r="J5" s="145"/>
      <c r="K5" s="145"/>
      <c r="L5" s="346"/>
      <c r="M5" s="293"/>
      <c r="N5" s="293"/>
      <c r="O5" s="293"/>
      <c r="P5" s="820"/>
      <c r="Q5" s="821"/>
      <c r="R5" s="209"/>
      <c r="S5" s="362"/>
      <c r="T5" s="822"/>
      <c r="U5" s="780"/>
      <c r="V5" s="1325"/>
      <c r="W5" s="1325"/>
      <c r="X5" s="1325"/>
      <c r="Y5" s="1325"/>
      <c r="Z5" s="1325"/>
      <c r="AA5" s="1325"/>
      <c r="AB5" s="1325"/>
      <c r="AC5" s="1326"/>
      <c r="AD5" s="1324"/>
      <c r="AE5" s="1325"/>
      <c r="AF5" s="1325"/>
      <c r="AG5" s="1325"/>
      <c r="AH5" s="1325"/>
      <c r="AI5" s="1325"/>
      <c r="AJ5" s="1325"/>
      <c r="AK5" s="1325"/>
      <c r="AL5" s="1325"/>
      <c r="AM5" s="1325"/>
      <c r="AN5" s="1325"/>
      <c r="AO5" s="1325"/>
      <c r="AP5" s="1325"/>
      <c r="AQ5" s="1325"/>
      <c r="AR5" s="1325"/>
      <c r="AS5" s="1325"/>
      <c r="AT5" s="1325"/>
      <c r="AU5" s="1325"/>
      <c r="AV5" s="1325"/>
      <c r="AW5" s="1325"/>
      <c r="AX5" s="1325"/>
      <c r="AY5" s="1325"/>
      <c r="AZ5" s="1325"/>
      <c r="BA5" s="1325"/>
      <c r="BB5" s="1326"/>
      <c r="BC5" s="781" t="s">
        <v>408</v>
      </c>
      <c r="BE5" s="69"/>
      <c r="BF5" s="69" t="str">
        <f t="shared" si="0"/>
        <v/>
      </c>
      <c r="BG5" s="69"/>
      <c r="BH5" s="69"/>
      <c r="BI5" s="68">
        <v>0</v>
      </c>
    </row>
    <row r="6" spans="1:61" s="68" customFormat="1" ht="14.25" hidden="1" customHeight="1">
      <c r="A6" s="145"/>
      <c r="B6" s="145"/>
      <c r="C6" s="145"/>
      <c r="D6" s="145"/>
      <c r="E6" s="1294"/>
      <c r="F6" s="1294"/>
      <c r="G6" s="1294"/>
      <c r="H6" s="1294"/>
      <c r="I6" s="1295" t="str">
        <f>S5&amp;".1"</f>
        <v>.1</v>
      </c>
      <c r="J6" s="145"/>
      <c r="K6" s="145"/>
      <c r="L6" s="346" t="s">
        <v>409</v>
      </c>
      <c r="M6" s="290"/>
      <c r="N6" s="290"/>
      <c r="O6" s="290"/>
      <c r="P6" s="1297">
        <v>1</v>
      </c>
      <c r="Q6" s="122"/>
      <c r="R6" s="208"/>
      <c r="S6" s="362"/>
      <c r="T6" s="779"/>
      <c r="U6" s="780"/>
      <c r="V6" s="1325"/>
      <c r="W6" s="1325"/>
      <c r="X6" s="1325"/>
      <c r="Y6" s="1325"/>
      <c r="Z6" s="1325"/>
      <c r="AA6" s="1325"/>
      <c r="AB6" s="1325"/>
      <c r="AC6" s="1326"/>
      <c r="AD6" s="1324"/>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6"/>
      <c r="BC6" s="781"/>
      <c r="BE6" s="69"/>
      <c r="BF6" s="69" t="str">
        <f t="shared" si="0"/>
        <v/>
      </c>
      <c r="BG6" s="69"/>
      <c r="BH6" s="69"/>
      <c r="BI6" s="68">
        <v>0</v>
      </c>
    </row>
    <row r="7" spans="1:61" s="68" customFormat="1" ht="14.25" hidden="1" customHeight="1">
      <c r="A7" s="145"/>
      <c r="B7" s="145"/>
      <c r="C7" s="145"/>
      <c r="D7" s="145"/>
      <c r="E7" s="1294"/>
      <c r="F7" s="1294"/>
      <c r="G7" s="1294"/>
      <c r="H7" s="1294"/>
      <c r="I7" s="1296"/>
      <c r="J7" s="1295" t="str">
        <f>S5&amp;".1"</f>
        <v>.1</v>
      </c>
      <c r="K7" s="145"/>
      <c r="L7" s="346"/>
      <c r="M7" s="290"/>
      <c r="N7" s="290"/>
      <c r="O7" s="290"/>
      <c r="P7" s="1297"/>
      <c r="Q7" s="1297">
        <v>1</v>
      </c>
      <c r="R7" s="209"/>
      <c r="S7" s="362"/>
      <c r="T7" s="794"/>
      <c r="U7" s="780"/>
      <c r="V7" s="1325"/>
      <c r="W7" s="1325"/>
      <c r="X7" s="1325"/>
      <c r="Y7" s="1325"/>
      <c r="Z7" s="1325"/>
      <c r="AA7" s="1325"/>
      <c r="AB7" s="1325"/>
      <c r="AC7" s="1326"/>
      <c r="AD7" s="1324"/>
      <c r="AE7" s="1325"/>
      <c r="AF7" s="1325"/>
      <c r="AG7" s="1325"/>
      <c r="AH7" s="1325"/>
      <c r="AI7" s="1325"/>
      <c r="AJ7" s="1325"/>
      <c r="AK7" s="1325"/>
      <c r="AL7" s="1325"/>
      <c r="AM7" s="1325"/>
      <c r="AN7" s="1325"/>
      <c r="AO7" s="1325"/>
      <c r="AP7" s="1325"/>
      <c r="AQ7" s="1325"/>
      <c r="AR7" s="1325"/>
      <c r="AS7" s="1325"/>
      <c r="AT7" s="1325"/>
      <c r="AU7" s="1325"/>
      <c r="AV7" s="1325"/>
      <c r="AW7" s="1325"/>
      <c r="AX7" s="1325"/>
      <c r="AY7" s="1325"/>
      <c r="AZ7" s="1325"/>
      <c r="BA7" s="1325"/>
      <c r="BB7" s="1326"/>
      <c r="BC7" s="781"/>
      <c r="BE7" s="69"/>
      <c r="BF7" s="69" t="str">
        <f t="shared" si="0"/>
        <v/>
      </c>
      <c r="BG7" s="69"/>
      <c r="BH7" s="69"/>
      <c r="BI7" s="68">
        <v>0</v>
      </c>
    </row>
    <row r="8" spans="1:61" ht="11.25" hidden="1" customHeight="1">
      <c r="A8" s="769"/>
      <c r="B8" s="769"/>
      <c r="C8" s="769"/>
      <c r="D8" s="769"/>
      <c r="E8" s="1294"/>
      <c r="F8" s="1294"/>
      <c r="G8" s="1294"/>
      <c r="H8" s="1294"/>
      <c r="I8" s="1296"/>
      <c r="J8" s="1296"/>
      <c r="K8" s="1295" t="e">
        <f>S4&amp;".1"</f>
        <v>#N/A</v>
      </c>
      <c r="L8" s="770"/>
      <c r="P8" s="1297"/>
      <c r="Q8" s="1297"/>
      <c r="R8" s="1353">
        <v>1</v>
      </c>
      <c r="S8" s="1350" t="e">
        <f>$K8</f>
        <v>#N/A</v>
      </c>
      <c r="T8" s="1372"/>
      <c r="U8" s="171"/>
      <c r="V8" s="306"/>
      <c r="W8" s="728"/>
      <c r="X8" s="306"/>
      <c r="Y8" s="728"/>
      <c r="Z8" s="943"/>
      <c r="AA8" s="297" t="s">
        <v>62</v>
      </c>
      <c r="AB8" s="943"/>
      <c r="AC8" s="297" t="s">
        <v>62</v>
      </c>
      <c r="AD8" s="1237" t="s">
        <v>62</v>
      </c>
      <c r="AE8" s="1346"/>
      <c r="AF8" s="1250">
        <v>1</v>
      </c>
      <c r="AG8" s="1371"/>
      <c r="AH8" s="1169" t="s">
        <v>62</v>
      </c>
      <c r="AI8" s="1346"/>
      <c r="AJ8" s="1250">
        <v>1</v>
      </c>
      <c r="AK8" s="1360" t="s">
        <v>22</v>
      </c>
      <c r="AL8" s="1169" t="s">
        <v>62</v>
      </c>
      <c r="AM8" s="1225"/>
      <c r="AN8" s="1250">
        <v>1</v>
      </c>
      <c r="AO8" s="1375"/>
      <c r="AP8" s="1376" t="s">
        <v>62</v>
      </c>
      <c r="AQ8" s="180"/>
      <c r="AR8" s="268">
        <v>1</v>
      </c>
      <c r="AS8" s="119" t="s">
        <v>22</v>
      </c>
      <c r="AT8" s="306"/>
      <c r="AU8" s="728"/>
      <c r="AV8" s="306"/>
      <c r="AW8" s="728"/>
      <c r="AX8" s="943"/>
      <c r="AY8" s="297" t="s">
        <v>62</v>
      </c>
      <c r="AZ8" s="943"/>
      <c r="BA8" s="297" t="s">
        <v>62</v>
      </c>
      <c r="BB8" s="766"/>
      <c r="BC8" s="1316" t="s">
        <v>503</v>
      </c>
      <c r="BE8" s="69"/>
      <c r="BF8" s="69" t="str">
        <f t="shared" si="0"/>
        <v/>
      </c>
      <c r="BG8" s="69"/>
      <c r="BH8" s="69"/>
      <c r="BI8" s="11">
        <v>0</v>
      </c>
    </row>
    <row r="9" spans="1:61" ht="11.25" hidden="1" customHeight="1">
      <c r="A9" s="769"/>
      <c r="B9" s="769"/>
      <c r="C9" s="769"/>
      <c r="D9" s="769"/>
      <c r="E9" s="1294"/>
      <c r="F9" s="1294"/>
      <c r="G9" s="1294"/>
      <c r="H9" s="1294"/>
      <c r="I9" s="1296"/>
      <c r="J9" s="1296"/>
      <c r="K9" s="1295"/>
      <c r="L9" s="770"/>
      <c r="P9" s="1297"/>
      <c r="Q9" s="1297"/>
      <c r="R9" s="1353"/>
      <c r="S9" s="1351"/>
      <c r="T9" s="1373"/>
      <c r="U9" s="171"/>
      <c r="V9" s="789"/>
      <c r="W9" s="819"/>
      <c r="X9" s="789"/>
      <c r="Y9" s="819"/>
      <c r="Z9" s="789"/>
      <c r="AA9" s="789"/>
      <c r="AB9" s="789"/>
      <c r="AC9" s="789"/>
      <c r="AD9" s="1238"/>
      <c r="AE9" s="1346"/>
      <c r="AF9" s="1250"/>
      <c r="AG9" s="1371"/>
      <c r="AH9" s="1169"/>
      <c r="AI9" s="1346"/>
      <c r="AJ9" s="1250"/>
      <c r="AK9" s="1360"/>
      <c r="AL9" s="1169"/>
      <c r="AM9" s="1230"/>
      <c r="AN9" s="1250"/>
      <c r="AO9" s="1375"/>
      <c r="AP9" s="1377"/>
      <c r="AQ9" s="184"/>
      <c r="AR9" s="52"/>
      <c r="AS9" s="52" t="s">
        <v>504</v>
      </c>
      <c r="AT9" s="789"/>
      <c r="AU9" s="819"/>
      <c r="AV9" s="789"/>
      <c r="AW9" s="819"/>
      <c r="AX9" s="789"/>
      <c r="AY9" s="789"/>
      <c r="AZ9" s="789"/>
      <c r="BA9" s="789"/>
      <c r="BB9" s="793"/>
      <c r="BC9" s="1317"/>
      <c r="BE9" s="69"/>
      <c r="BF9" s="69"/>
      <c r="BG9" s="69"/>
      <c r="BH9" s="69"/>
      <c r="BI9" s="11">
        <v>0</v>
      </c>
    </row>
    <row r="10" spans="1:61" ht="11.25" hidden="1" customHeight="1">
      <c r="A10" s="769"/>
      <c r="B10" s="769"/>
      <c r="C10" s="769"/>
      <c r="D10" s="769"/>
      <c r="E10" s="1294"/>
      <c r="F10" s="1294"/>
      <c r="G10" s="1294"/>
      <c r="H10" s="1294"/>
      <c r="I10" s="1296"/>
      <c r="J10" s="1296"/>
      <c r="K10" s="1295"/>
      <c r="L10" s="770"/>
      <c r="P10" s="1297"/>
      <c r="Q10" s="1297"/>
      <c r="R10" s="1353"/>
      <c r="S10" s="1351"/>
      <c r="T10" s="1373"/>
      <c r="U10" s="171"/>
      <c r="V10" s="789"/>
      <c r="W10" s="819"/>
      <c r="X10" s="789"/>
      <c r="Y10" s="819"/>
      <c r="Z10" s="789"/>
      <c r="AA10" s="789"/>
      <c r="AB10" s="789"/>
      <c r="AC10" s="789"/>
      <c r="AD10" s="1238"/>
      <c r="AE10" s="1346"/>
      <c r="AF10" s="1250"/>
      <c r="AG10" s="1371"/>
      <c r="AH10" s="1169"/>
      <c r="AI10" s="1346"/>
      <c r="AJ10" s="1250"/>
      <c r="AK10" s="1360"/>
      <c r="AL10" s="1169"/>
      <c r="AM10" s="184"/>
      <c r="AN10" s="823"/>
      <c r="AO10" s="823" t="s">
        <v>505</v>
      </c>
      <c r="AP10" s="52"/>
      <c r="AQ10" s="52"/>
      <c r="AR10" s="52"/>
      <c r="AS10" s="789"/>
      <c r="AT10" s="789"/>
      <c r="AU10" s="819"/>
      <c r="AV10" s="789"/>
      <c r="AW10" s="819"/>
      <c r="AX10" s="789"/>
      <c r="AY10" s="789"/>
      <c r="AZ10" s="789"/>
      <c r="BA10" s="789"/>
      <c r="BB10" s="793"/>
      <c r="BC10" s="1317"/>
      <c r="BE10" s="69"/>
      <c r="BF10" s="69"/>
      <c r="BG10" s="69"/>
      <c r="BH10" s="69"/>
      <c r="BI10" s="11">
        <v>0</v>
      </c>
    </row>
    <row r="11" spans="1:61" ht="11.25" hidden="1" customHeight="1">
      <c r="A11" s="769"/>
      <c r="B11" s="769"/>
      <c r="C11" s="769"/>
      <c r="D11" s="769"/>
      <c r="E11" s="1294"/>
      <c r="F11" s="1294"/>
      <c r="G11" s="1294"/>
      <c r="H11" s="1294"/>
      <c r="I11" s="1296"/>
      <c r="J11" s="1296"/>
      <c r="K11" s="1295"/>
      <c r="L11" s="770"/>
      <c r="P11" s="1297"/>
      <c r="Q11" s="1297"/>
      <c r="R11" s="1353"/>
      <c r="S11" s="1351"/>
      <c r="T11" s="1373"/>
      <c r="U11" s="171"/>
      <c r="V11" s="789"/>
      <c r="W11" s="819"/>
      <c r="X11" s="789"/>
      <c r="Y11" s="819"/>
      <c r="Z11" s="789"/>
      <c r="AA11" s="789"/>
      <c r="AB11" s="789"/>
      <c r="AC11" s="789"/>
      <c r="AD11" s="1238"/>
      <c r="AE11" s="1346"/>
      <c r="AF11" s="1250"/>
      <c r="AG11" s="1371"/>
      <c r="AH11" s="1169"/>
      <c r="AI11" s="169"/>
      <c r="AJ11" s="110"/>
      <c r="AK11" s="182" t="s">
        <v>506</v>
      </c>
      <c r="AL11" s="789"/>
      <c r="AM11" s="789"/>
      <c r="AN11" s="789"/>
      <c r="AO11" s="789"/>
      <c r="AP11" s="789"/>
      <c r="AQ11" s="789"/>
      <c r="AR11" s="789"/>
      <c r="AS11" s="789"/>
      <c r="AT11" s="789"/>
      <c r="AU11" s="819"/>
      <c r="AV11" s="789"/>
      <c r="AW11" s="819"/>
      <c r="AX11" s="789"/>
      <c r="AY11" s="789"/>
      <c r="AZ11" s="789"/>
      <c r="BA11" s="789"/>
      <c r="BB11" s="793"/>
      <c r="BC11" s="1317"/>
      <c r="BE11" s="69"/>
      <c r="BF11" s="69"/>
      <c r="BG11" s="69"/>
      <c r="BH11" s="69"/>
      <c r="BI11" s="11">
        <v>0</v>
      </c>
    </row>
    <row r="12" spans="1:61" ht="11.25" hidden="1" customHeight="1">
      <c r="A12" s="769"/>
      <c r="B12" s="769"/>
      <c r="C12" s="769"/>
      <c r="D12" s="769"/>
      <c r="E12" s="1294"/>
      <c r="F12" s="1294"/>
      <c r="G12" s="1294"/>
      <c r="H12" s="1294"/>
      <c r="I12" s="1296"/>
      <c r="J12" s="1296"/>
      <c r="K12" s="1295"/>
      <c r="L12" s="770"/>
      <c r="P12" s="1297"/>
      <c r="Q12" s="1297"/>
      <c r="R12" s="1353"/>
      <c r="S12" s="1352"/>
      <c r="T12" s="1374"/>
      <c r="U12" s="171"/>
      <c r="V12" s="789"/>
      <c r="W12" s="790" t="str">
        <f>Z8&amp;"-"&amp;AB8</f>
        <v>-</v>
      </c>
      <c r="X12" s="789"/>
      <c r="Y12" s="790" t="str">
        <f>AB8&amp;"-"&amp;AD8</f>
        <v>-да</v>
      </c>
      <c r="Z12" s="789"/>
      <c r="AA12" s="789"/>
      <c r="AB12" s="789"/>
      <c r="AC12" s="789"/>
      <c r="AD12" s="1174"/>
      <c r="AE12" s="181"/>
      <c r="AF12" s="183"/>
      <c r="AG12" s="52" t="s">
        <v>507</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7"/>
      <c r="BE12" s="69"/>
      <c r="BF12" s="69" t="str">
        <f t="shared" ref="BF12:BF18" si="1">IF(T12="","",T12)</f>
        <v/>
      </c>
      <c r="BG12" s="69"/>
      <c r="BH12" s="69"/>
      <c r="BI12" s="11">
        <v>0</v>
      </c>
    </row>
    <row r="13" spans="1:61" ht="11.25" hidden="1" customHeight="1">
      <c r="A13" s="769"/>
      <c r="B13" s="769"/>
      <c r="C13" s="769"/>
      <c r="D13" s="769"/>
      <c r="E13" s="1294"/>
      <c r="F13" s="1294"/>
      <c r="G13" s="1294"/>
      <c r="H13" s="1294"/>
      <c r="I13" s="1296"/>
      <c r="J13" s="1295"/>
      <c r="K13" s="769"/>
      <c r="L13" s="770"/>
      <c r="P13" s="1297"/>
      <c r="Q13" s="1297"/>
      <c r="R13" s="208"/>
      <c r="S13" s="742"/>
      <c r="T13" s="166" t="s">
        <v>470</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18"/>
      <c r="BE13" s="69"/>
      <c r="BF13" s="69" t="str">
        <f t="shared" si="1"/>
        <v>Добавить строку</v>
      </c>
      <c r="BG13" s="69"/>
      <c r="BH13" s="69"/>
      <c r="BI13" s="11">
        <v>0</v>
      </c>
    </row>
    <row r="14" spans="1:61" s="68" customFormat="1" ht="14.25" hidden="1" customHeight="1">
      <c r="A14" s="145"/>
      <c r="B14" s="145"/>
      <c r="C14" s="145"/>
      <c r="D14" s="145"/>
      <c r="E14" s="1294"/>
      <c r="F14" s="1294"/>
      <c r="G14" s="1294"/>
      <c r="H14" s="1294"/>
      <c r="I14" s="1295"/>
      <c r="J14" s="145"/>
      <c r="K14" s="145"/>
      <c r="L14" s="346"/>
      <c r="M14" s="290"/>
      <c r="N14" s="290"/>
      <c r="O14" s="290"/>
      <c r="P14" s="1297"/>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4"/>
      <c r="F15" s="1294"/>
      <c r="G15" s="1294"/>
      <c r="H15" s="1293"/>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4"/>
      <c r="F16" s="1294"/>
      <c r="G16" s="1293"/>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4"/>
      <c r="F17" s="1293"/>
      <c r="G17" s="145"/>
      <c r="H17" s="145"/>
      <c r="I17" s="145"/>
      <c r="J17" s="145"/>
      <c r="K17" s="145"/>
      <c r="L17" s="346"/>
      <c r="M17" s="759"/>
      <c r="N17" s="759"/>
      <c r="P17" s="104"/>
      <c r="Q17" s="755"/>
      <c r="R17" s="104"/>
      <c r="S17" s="760"/>
      <c r="T17" s="762" t="s">
        <v>421</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3"/>
      <c r="F18" s="145"/>
      <c r="G18" s="145"/>
      <c r="H18" s="145"/>
      <c r="I18" s="145"/>
      <c r="J18" s="145"/>
      <c r="K18" s="145"/>
      <c r="L18" s="346"/>
      <c r="M18" s="759"/>
      <c r="N18" s="759"/>
      <c r="P18" s="104"/>
      <c r="Q18" s="755"/>
      <c r="R18" s="104"/>
      <c r="S18" s="760"/>
      <c r="T18" s="762" t="s">
        <v>422</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423</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424</v>
      </c>
      <c r="P24" s="830"/>
      <c r="Q24" s="831"/>
      <c r="R24" s="831"/>
      <c r="AA24" s="829" t="s">
        <v>426</v>
      </c>
      <c r="AC24" s="829" t="s">
        <v>427</v>
      </c>
      <c r="AD24" s="829" t="s">
        <v>471</v>
      </c>
      <c r="AH24" s="829" t="s">
        <v>471</v>
      </c>
      <c r="AK24" s="829" t="s">
        <v>508</v>
      </c>
      <c r="AL24" s="829" t="s">
        <v>471</v>
      </c>
      <c r="AP24" s="829" t="s">
        <v>471</v>
      </c>
      <c r="AY24" s="829" t="s">
        <v>426</v>
      </c>
      <c r="BA24" s="829" t="s">
        <v>427</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59"/>
      <c r="BI28" s="11">
        <v>14</v>
      </c>
    </row>
    <row r="29" spans="1:61" ht="14.65" customHeight="1">
      <c r="Q29" s="168"/>
      <c r="R29" s="28"/>
      <c r="S29" s="1246" t="str">
        <f>IF(org=0,"Не определено",org)</f>
        <v>Сургутское городское муниципальное унитарное предприятие "Горводоканал"</v>
      </c>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1284"/>
      <c r="U31" s="773"/>
      <c r="V31" s="1286" t="str">
        <f>IF(TITLE_NAME_OR_PR_CHANGE="",IF(TITLE_NAME_OR_PR="","",TITLE_NAME_OR_PR),TITLE_NAME_OR_PR_CHANGE)</f>
        <v/>
      </c>
      <c r="W31" s="1286"/>
      <c r="X31" s="1286"/>
      <c r="Y31" s="1286"/>
      <c r="Z31" s="1286"/>
      <c r="AA31" s="1286"/>
      <c r="AB31" s="1286"/>
      <c r="AC31" s="11"/>
      <c r="AD31" s="1286" t="str">
        <f>IF(TITLE_NAME_OR_PR_CHANGE="",IF(TITLE_NAME_OR_PR="","",TITLE_NAME_OR_PR),TITLE_NAME_OR_PR_CHANGE)</f>
        <v/>
      </c>
      <c r="AE31" s="1286"/>
      <c r="AF31" s="1286"/>
      <c r="AG31" s="1286"/>
      <c r="AH31" s="1286"/>
      <c r="AI31" s="1286"/>
      <c r="AJ31" s="1286"/>
      <c r="AK31" s="1286"/>
      <c r="AL31" s="1286"/>
      <c r="AM31" s="1286"/>
      <c r="AN31" s="1286"/>
      <c r="AO31" s="1286"/>
      <c r="AP31" s="1286"/>
      <c r="AQ31" s="1286"/>
      <c r="AR31" s="1286"/>
      <c r="AS31" s="1286"/>
      <c r="AT31" s="1286"/>
      <c r="AU31" s="1286"/>
      <c r="AV31" s="1286"/>
      <c r="AW31" s="1286"/>
      <c r="AX31" s="1286"/>
      <c r="AY31" s="1286"/>
      <c r="AZ31" s="1286"/>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84" t="str">
        <f>"Дата документа об "&amp;IF(TITLE_DATE_PR_CHANGE="","утверждении","изменении")&amp;" тарифов"</f>
        <v>Дата документа об утверждении тарифов</v>
      </c>
      <c r="T32" s="1284"/>
      <c r="U32" s="773"/>
      <c r="V32" s="1285" t="str">
        <f>IF(TITLE_DATE_PR_CHANGE="",IF(TITLE_DATE_PR="","",TITLE_DATE_PR),TITLE_DATE_PR_CHANGE)</f>
        <v/>
      </c>
      <c r="W32" s="1285"/>
      <c r="X32" s="1285"/>
      <c r="Y32" s="1285"/>
      <c r="Z32" s="1285"/>
      <c r="AA32" s="1285"/>
      <c r="AB32" s="1285"/>
      <c r="AC32" s="11"/>
      <c r="AD32" s="1285" t="str">
        <f>IF(TITLE_DATE_PR_CHANGE="",IF(TITLE_DATE_PR="","",TITLE_DATE_PR),TITLE_DATE_PR_CHANGE)</f>
        <v/>
      </c>
      <c r="AE32" s="1285"/>
      <c r="AF32" s="1285"/>
      <c r="AG32" s="1285"/>
      <c r="AH32" s="1285"/>
      <c r="AI32" s="1285"/>
      <c r="AJ32" s="1285"/>
      <c r="AK32" s="1285"/>
      <c r="AL32" s="1285"/>
      <c r="AM32" s="1285"/>
      <c r="AN32" s="1285"/>
      <c r="AO32" s="1285"/>
      <c r="AP32" s="1285"/>
      <c r="AQ32" s="1285"/>
      <c r="AR32" s="1285"/>
      <c r="AS32" s="1285"/>
      <c r="AT32" s="1285"/>
      <c r="AU32" s="1285"/>
      <c r="AV32" s="1285"/>
      <c r="AW32" s="1285"/>
      <c r="AX32" s="1285"/>
      <c r="AY32" s="1285"/>
      <c r="AZ32" s="1285"/>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84" t="str">
        <f>"Номер документа об "&amp;IF(TITLE_DATE_PR_CHANGE="","утверждении","изменении")&amp;" тарифов"</f>
        <v>Номер документа об утверждении тарифов</v>
      </c>
      <c r="T33" s="1284"/>
      <c r="U33" s="773"/>
      <c r="V33" s="1286" t="str">
        <f>IF(TITLE_NUMBER_PR_CHANGE="",IF(TITLE_NUMBER_PR="","",TITLE_NUMBER_PR),TITLE_NUMBER_PR_CHANGE)</f>
        <v/>
      </c>
      <c r="W33" s="1286"/>
      <c r="X33" s="1286"/>
      <c r="Y33" s="1286"/>
      <c r="Z33" s="1286"/>
      <c r="AA33" s="1286"/>
      <c r="AB33" s="1286"/>
      <c r="AC33" s="11"/>
      <c r="AD33" s="1286" t="str">
        <f>IF(TITLE_NUMBER_PR_CHANGE="",IF(TITLE_NUMBER_PR="","",TITLE_NUMBER_PR),TITLE_NUMBER_PR_CHANGE)</f>
        <v/>
      </c>
      <c r="AE33" s="1286"/>
      <c r="AF33" s="1286"/>
      <c r="AG33" s="1286"/>
      <c r="AH33" s="1286"/>
      <c r="AI33" s="1286"/>
      <c r="AJ33" s="1286"/>
      <c r="AK33" s="1286"/>
      <c r="AL33" s="1286"/>
      <c r="AM33" s="1286"/>
      <c r="AN33" s="1286"/>
      <c r="AO33" s="1286"/>
      <c r="AP33" s="1286"/>
      <c r="AQ33" s="1286"/>
      <c r="AR33" s="1286"/>
      <c r="AS33" s="1286"/>
      <c r="AT33" s="1286"/>
      <c r="AU33" s="1286"/>
      <c r="AV33" s="1286"/>
      <c r="AW33" s="1286"/>
      <c r="AX33" s="1286"/>
      <c r="AY33" s="1286"/>
      <c r="AZ33" s="1286"/>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84" t="s">
        <v>43</v>
      </c>
      <c r="T34" s="1284"/>
      <c r="U34" s="773"/>
      <c r="V34" s="1286" t="str">
        <f>IF(TITLE_IST_PUB_CHANGE="",IF(TITLE_IST_PUB="","",TITLE_IST_PUB),TITLE_IST_PUB_CHANGE)</f>
        <v/>
      </c>
      <c r="W34" s="1286"/>
      <c r="X34" s="1286"/>
      <c r="Y34" s="1286"/>
      <c r="Z34" s="1286"/>
      <c r="AA34" s="1286"/>
      <c r="AB34" s="1286"/>
      <c r="AC34" s="11"/>
      <c r="AD34" s="1286" t="str">
        <f>IF(TITLE_IST_PUB_CHANGE="",IF(TITLE_IST_PUB="","",TITLE_IST_PUB),TITLE_IST_PUB_CHANGE)</f>
        <v/>
      </c>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84" t="str">
        <f>"Дата подачи заявления об "&amp;IF(TITLE_DATE_PR_CHANGE="","утверждении","изменении")&amp;" тарифов"</f>
        <v>Дата подачи заявления об утверждении тарифов</v>
      </c>
      <c r="T36" s="1284"/>
      <c r="U36" s="773"/>
      <c r="V36" s="1285" t="str">
        <f>IF(TITLE_DATE_PR_CHANGE="",IF(TITLE_DATE_PR="","",TITLE_DATE_PR),TITLE_DATE_PR_CHANGE)</f>
        <v/>
      </c>
      <c r="W36" s="1285"/>
      <c r="X36" s="1285"/>
      <c r="Y36" s="1285"/>
      <c r="Z36" s="1285"/>
      <c r="AA36" s="1285"/>
      <c r="AB36" s="1285"/>
      <c r="AC36" s="11"/>
      <c r="AD36" s="1285" t="str">
        <f>IF(TITLE_DATE_PR_CHANGE="",IF(TITLE_DATE_PR="","",TITLE_DATE_PR),TITLE_DATE_PR_CHANGE)</f>
        <v/>
      </c>
      <c r="AE36" s="1285"/>
      <c r="AF36" s="1285"/>
      <c r="AG36" s="1285"/>
      <c r="AH36" s="1285"/>
      <c r="AI36" s="1285"/>
      <c r="AJ36" s="1285"/>
      <c r="AK36" s="1285"/>
      <c r="AL36" s="1285"/>
      <c r="AM36" s="1285"/>
      <c r="AN36" s="1285"/>
      <c r="AO36" s="1285"/>
      <c r="AP36" s="1285"/>
      <c r="AQ36" s="1285"/>
      <c r="AR36" s="1285"/>
      <c r="AS36" s="1285"/>
      <c r="AT36" s="1285"/>
      <c r="AU36" s="1285"/>
      <c r="AV36" s="1285"/>
      <c r="AW36" s="1285"/>
      <c r="AX36" s="1285"/>
      <c r="AY36" s="1285"/>
      <c r="AZ36" s="1285"/>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84" t="str">
        <f>"Номер подачи заявления об "&amp;IF(TITLE_DATE_PR_CHANGE="","утверждении","изменении")&amp;" тарифов"</f>
        <v>Номер подачи заявления об утверждении тарифов</v>
      </c>
      <c r="T37" s="1284"/>
      <c r="U37" s="773"/>
      <c r="V37" s="1286" t="str">
        <f>IF(TITLE_NUMBER_PR_CHANGE="",IF(TITLE_NUMBER_PR="","",TITLE_NUMBER_PR),TITLE_NUMBER_PR_CHANGE)</f>
        <v/>
      </c>
      <c r="W37" s="1286"/>
      <c r="X37" s="1286"/>
      <c r="Y37" s="1286"/>
      <c r="Z37" s="1286"/>
      <c r="AA37" s="1286"/>
      <c r="AB37" s="1286"/>
      <c r="AC37" s="11"/>
      <c r="AD37" s="1286" t="str">
        <f>IF(TITLE_NUMBER_PR_CHANGE="",IF(TITLE_NUMBER_PR="","",TITLE_NUMBER_PR),TITLE_NUMBER_PR_CHANGE)</f>
        <v/>
      </c>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429</v>
      </c>
      <c r="BD38" s="69"/>
      <c r="BE38" s="69"/>
      <c r="BF38" s="69"/>
      <c r="BG38" s="69"/>
      <c r="BH38" s="69"/>
      <c r="BI38" s="35">
        <v>0</v>
      </c>
    </row>
    <row r="39" spans="1:61" ht="14.65" customHeight="1">
      <c r="Q39" s="168"/>
      <c r="R39" s="28"/>
      <c r="S39" s="739"/>
      <c r="T39" s="10"/>
      <c r="U39" s="720"/>
      <c r="V39" s="1305"/>
      <c r="W39" s="1305"/>
      <c r="X39" s="1305"/>
      <c r="Y39" s="1305"/>
      <c r="Z39" s="1305"/>
      <c r="AA39" s="1305"/>
      <c r="AB39" s="1305"/>
      <c r="AC39" s="1305"/>
      <c r="AD39" s="1305"/>
      <c r="AE39" s="1305"/>
      <c r="AF39" s="1305"/>
      <c r="AG39" s="1305"/>
      <c r="AH39" s="1305"/>
      <c r="AI39" s="1305"/>
      <c r="AJ39" s="1305"/>
      <c r="AK39" s="1305"/>
      <c r="AL39" s="1305"/>
      <c r="AM39" s="1305"/>
      <c r="AN39" s="1305"/>
      <c r="AO39" s="1305"/>
      <c r="AP39" s="1305"/>
      <c r="AQ39" s="1305"/>
      <c r="AR39" s="1305"/>
      <c r="AS39" s="1305"/>
      <c r="AT39" s="1305"/>
      <c r="AU39" s="1305"/>
      <c r="AV39" s="1305"/>
      <c r="AW39" s="1305"/>
      <c r="AX39" s="1305"/>
      <c r="AY39" s="1305"/>
      <c r="AZ39" s="1305"/>
      <c r="BA39" s="1305"/>
      <c r="BI39" s="11">
        <v>14</v>
      </c>
    </row>
    <row r="40" spans="1:61" ht="14.65" customHeight="1">
      <c r="Q40" s="168"/>
      <c r="R40" s="28"/>
      <c r="S40" s="1159" t="s">
        <v>306</v>
      </c>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1159"/>
      <c r="AP40" s="1159"/>
      <c r="AQ40" s="1159"/>
      <c r="AR40" s="1159"/>
      <c r="AS40" s="1159"/>
      <c r="AT40" s="1159"/>
      <c r="AU40" s="1159"/>
      <c r="AV40" s="1159"/>
      <c r="AW40" s="1159"/>
      <c r="AX40" s="1159"/>
      <c r="AY40" s="1159"/>
      <c r="AZ40" s="1159"/>
      <c r="BA40" s="1159"/>
      <c r="BB40" s="1159"/>
      <c r="BC40" s="1159" t="s">
        <v>307</v>
      </c>
      <c r="BI40" s="11">
        <v>14</v>
      </c>
    </row>
    <row r="41" spans="1:61" ht="14.65" customHeight="1">
      <c r="Q41" s="168"/>
      <c r="R41" s="28"/>
      <c r="S41" s="1306" t="s">
        <v>88</v>
      </c>
      <c r="T41" s="1254" t="s">
        <v>511</v>
      </c>
      <c r="U41" s="172"/>
      <c r="V41" s="1307" t="s">
        <v>431</v>
      </c>
      <c r="W41" s="1308"/>
      <c r="X41" s="1308"/>
      <c r="Y41" s="1308"/>
      <c r="Z41" s="1308"/>
      <c r="AA41" s="1308"/>
      <c r="AB41" s="1309"/>
      <c r="AC41" s="1310" t="s">
        <v>432</v>
      </c>
      <c r="AD41" s="1339" t="s">
        <v>512</v>
      </c>
      <c r="AE41" s="1323"/>
      <c r="AF41" s="1323"/>
      <c r="AG41" s="1340"/>
      <c r="AH41" s="1339" t="s">
        <v>513</v>
      </c>
      <c r="AI41" s="1323"/>
      <c r="AJ41" s="1323"/>
      <c r="AK41" s="1340"/>
      <c r="AL41" s="1339" t="s">
        <v>514</v>
      </c>
      <c r="AM41" s="1323"/>
      <c r="AN41" s="1323"/>
      <c r="AO41" s="1340"/>
      <c r="AP41" s="1339" t="s">
        <v>515</v>
      </c>
      <c r="AQ41" s="1323"/>
      <c r="AR41" s="1323"/>
      <c r="AS41" s="1340"/>
      <c r="AT41" s="1307" t="s">
        <v>431</v>
      </c>
      <c r="AU41" s="1308"/>
      <c r="AV41" s="1308"/>
      <c r="AW41" s="1308"/>
      <c r="AX41" s="1308"/>
      <c r="AY41" s="1308"/>
      <c r="AZ41" s="1309"/>
      <c r="BA41" s="1310" t="s">
        <v>432</v>
      </c>
      <c r="BB41" s="1313" t="s">
        <v>434</v>
      </c>
      <c r="BC41" s="1159"/>
      <c r="BI41" s="11">
        <v>14</v>
      </c>
    </row>
    <row r="42" spans="1:61" ht="35.65" customHeight="1">
      <c r="Q42" s="168"/>
      <c r="R42" s="28"/>
      <c r="S42" s="1306"/>
      <c r="T42" s="1254"/>
      <c r="U42" s="607"/>
      <c r="V42" s="1225" t="s">
        <v>516</v>
      </c>
      <c r="W42" s="1226"/>
      <c r="X42" s="1225" t="s">
        <v>517</v>
      </c>
      <c r="Y42" s="1226"/>
      <c r="Z42" s="1225" t="s">
        <v>518</v>
      </c>
      <c r="AA42" s="1335"/>
      <c r="AB42" s="1226"/>
      <c r="AC42" s="1311"/>
      <c r="AD42" s="1341"/>
      <c r="AE42" s="1342"/>
      <c r="AF42" s="1342"/>
      <c r="AG42" s="1354"/>
      <c r="AH42" s="1341"/>
      <c r="AI42" s="1342"/>
      <c r="AJ42" s="1342"/>
      <c r="AK42" s="1354"/>
      <c r="AL42" s="1341"/>
      <c r="AM42" s="1342"/>
      <c r="AN42" s="1342"/>
      <c r="AO42" s="1354"/>
      <c r="AP42" s="1341"/>
      <c r="AQ42" s="1342"/>
      <c r="AR42" s="1342"/>
      <c r="AS42" s="1354"/>
      <c r="AT42" s="1225" t="s">
        <v>516</v>
      </c>
      <c r="AU42" s="1226"/>
      <c r="AV42" s="1225" t="s">
        <v>517</v>
      </c>
      <c r="AW42" s="1226"/>
      <c r="AX42" s="1225" t="s">
        <v>518</v>
      </c>
      <c r="AY42" s="1335"/>
      <c r="AZ42" s="1226"/>
      <c r="BA42" s="1311"/>
      <c r="BB42" s="1314"/>
      <c r="BC42" s="1159"/>
      <c r="BI42" s="11">
        <v>34</v>
      </c>
    </row>
    <row r="43" spans="1:61" ht="14.65" customHeight="1">
      <c r="Q43" s="168"/>
      <c r="R43" s="28"/>
      <c r="S43" s="1306"/>
      <c r="T43" s="1254"/>
      <c r="U43" s="607"/>
      <c r="V43" s="1230"/>
      <c r="W43" s="1231"/>
      <c r="X43" s="1230"/>
      <c r="Y43" s="1231"/>
      <c r="Z43" s="1230"/>
      <c r="AA43" s="1336"/>
      <c r="AB43" s="1231"/>
      <c r="AC43" s="1311"/>
      <c r="AD43" s="1341"/>
      <c r="AE43" s="1342"/>
      <c r="AF43" s="1342"/>
      <c r="AG43" s="1354"/>
      <c r="AH43" s="1341"/>
      <c r="AI43" s="1342"/>
      <c r="AJ43" s="1342"/>
      <c r="AK43" s="1354"/>
      <c r="AL43" s="1341"/>
      <c r="AM43" s="1342"/>
      <c r="AN43" s="1342"/>
      <c r="AO43" s="1354"/>
      <c r="AP43" s="1341"/>
      <c r="AQ43" s="1342"/>
      <c r="AR43" s="1342"/>
      <c r="AS43" s="1354"/>
      <c r="AT43" s="1230"/>
      <c r="AU43" s="1231"/>
      <c r="AV43" s="1230"/>
      <c r="AW43" s="1231"/>
      <c r="AX43" s="1230"/>
      <c r="AY43" s="1336"/>
      <c r="AZ43" s="1231"/>
      <c r="BA43" s="1311"/>
      <c r="BB43" s="1314"/>
      <c r="BC43" s="1159"/>
      <c r="BI43" s="11">
        <v>14</v>
      </c>
    </row>
    <row r="44" spans="1:61" ht="14.65" customHeight="1">
      <c r="A44" s="82"/>
      <c r="B44" s="82" t="s">
        <v>143</v>
      </c>
      <c r="C44" s="82" t="s">
        <v>144</v>
      </c>
      <c r="D44" s="82" t="s">
        <v>145</v>
      </c>
      <c r="E44" s="770" t="s">
        <v>439</v>
      </c>
      <c r="F44" s="770" t="s">
        <v>440</v>
      </c>
      <c r="G44" s="770" t="s">
        <v>441</v>
      </c>
      <c r="H44" s="770" t="s">
        <v>442</v>
      </c>
      <c r="I44" s="770" t="s">
        <v>443</v>
      </c>
      <c r="J44" s="770" t="s">
        <v>444</v>
      </c>
      <c r="K44" s="770" t="s">
        <v>445</v>
      </c>
      <c r="L44" s="770" t="s">
        <v>424</v>
      </c>
      <c r="Q44" s="168"/>
      <c r="R44" s="28"/>
      <c r="S44" s="1306"/>
      <c r="T44" s="1254"/>
      <c r="U44" s="173"/>
      <c r="V44" s="36" t="s">
        <v>480</v>
      </c>
      <c r="W44" s="36" t="s">
        <v>481</v>
      </c>
      <c r="X44" s="36" t="s">
        <v>480</v>
      </c>
      <c r="Y44" s="36" t="s">
        <v>481</v>
      </c>
      <c r="Z44" s="39" t="s">
        <v>448</v>
      </c>
      <c r="AA44" s="1259" t="s">
        <v>449</v>
      </c>
      <c r="AB44" s="1273"/>
      <c r="AC44" s="1312"/>
      <c r="AD44" s="1343"/>
      <c r="AE44" s="1344"/>
      <c r="AF44" s="1344"/>
      <c r="AG44" s="1345"/>
      <c r="AH44" s="1343"/>
      <c r="AI44" s="1344"/>
      <c r="AJ44" s="1344"/>
      <c r="AK44" s="1345"/>
      <c r="AL44" s="1343"/>
      <c r="AM44" s="1344"/>
      <c r="AN44" s="1344"/>
      <c r="AO44" s="1345"/>
      <c r="AP44" s="1343"/>
      <c r="AQ44" s="1344"/>
      <c r="AR44" s="1344"/>
      <c r="AS44" s="1345"/>
      <c r="AT44" s="36" t="s">
        <v>480</v>
      </c>
      <c r="AU44" s="36" t="s">
        <v>481</v>
      </c>
      <c r="AV44" s="36" t="s">
        <v>480</v>
      </c>
      <c r="AW44" s="36" t="s">
        <v>481</v>
      </c>
      <c r="AX44" s="39" t="s">
        <v>448</v>
      </c>
      <c r="AY44" s="1259" t="s">
        <v>449</v>
      </c>
      <c r="AZ44" s="1273"/>
      <c r="BA44" s="1312"/>
      <c r="BB44" s="1315"/>
      <c r="BC44" s="1159"/>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304">
        <f t="shared" ca="1" si="2"/>
        <v>8</v>
      </c>
      <c r="AB45" s="1304"/>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4">
        <f ca="1">OFFSET(AY45,0,-1)+1</f>
        <v>3</v>
      </c>
      <c r="AZ45" s="1304"/>
      <c r="BA45" s="727">
        <f ca="1">OFFSET(BA45,0,-2)+1</f>
        <v>4</v>
      </c>
      <c r="BB45" s="721">
        <f ca="1">OFFSET(BB45,0,-1)</f>
        <v>4</v>
      </c>
      <c r="BC45" s="727">
        <f ca="1">OFFSET(BC45,0,-1)+1</f>
        <v>5</v>
      </c>
      <c r="BD45" s="68"/>
      <c r="BE45" s="68"/>
      <c r="BF45" s="68"/>
      <c r="BG45" s="68"/>
      <c r="BH45" s="68"/>
      <c r="BI45" s="203">
        <v>0</v>
      </c>
    </row>
    <row r="46" spans="1:61" ht="21.95" customHeight="1">
      <c r="A46" s="769" t="s">
        <v>267</v>
      </c>
      <c r="B46" s="769"/>
      <c r="C46" s="769"/>
      <c r="D46" s="769"/>
      <c r="E46" s="1293">
        <v>1</v>
      </c>
      <c r="F46" s="769"/>
      <c r="G46" s="769"/>
      <c r="H46" s="769"/>
      <c r="I46" s="769"/>
      <c r="J46" s="769"/>
      <c r="K46" s="769"/>
      <c r="L46" s="770"/>
      <c r="M46" s="426"/>
      <c r="N46" s="426"/>
      <c r="O46" s="426"/>
      <c r="Q46" s="62"/>
      <c r="R46" s="207"/>
      <c r="S46" s="709">
        <f>INDEX(PT_DIFFERENTIATION_NUM_NTAR,MATCH(A46,PT_DIFFERENTIATION_NTAR_ID,0))</f>
        <v>0</v>
      </c>
      <c r="T46" s="67" t="s">
        <v>131</v>
      </c>
      <c r="U46" s="171"/>
      <c r="V46" s="1288"/>
      <c r="W46" s="1288"/>
      <c r="X46" s="1288"/>
      <c r="Y46" s="1288"/>
      <c r="Z46" s="1288"/>
      <c r="AA46" s="1288"/>
      <c r="AB46" s="1288"/>
      <c r="AC46" s="1289"/>
      <c r="AD46" s="1287" t="str">
        <f>INDEX(PT_DIFFERENTIATION_NTAR,MATCH(A46,PT_DIFFERENTIATION_NTAR_ID,0))</f>
        <v/>
      </c>
      <c r="AE46" s="1288"/>
      <c r="AF46" s="1288"/>
      <c r="AG46" s="1288"/>
      <c r="AH46" s="1288"/>
      <c r="AI46" s="1288"/>
      <c r="AJ46" s="1288"/>
      <c r="AK46" s="1288"/>
      <c r="AL46" s="1288"/>
      <c r="AM46" s="1288"/>
      <c r="AN46" s="1288"/>
      <c r="AO46" s="1288"/>
      <c r="AP46" s="1288"/>
      <c r="AQ46" s="1288"/>
      <c r="AR46" s="1288"/>
      <c r="AS46" s="1288"/>
      <c r="AT46" s="1288"/>
      <c r="AU46" s="1288"/>
      <c r="AV46" s="1288"/>
      <c r="AW46" s="1288"/>
      <c r="AX46" s="1288"/>
      <c r="AY46" s="1288"/>
      <c r="AZ46" s="1288"/>
      <c r="BA46" s="1288"/>
      <c r="BB46" s="1289"/>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267</v>
      </c>
      <c r="B47" s="769" t="s">
        <v>268</v>
      </c>
      <c r="C47" s="769"/>
      <c r="D47" s="769"/>
      <c r="E47" s="1294"/>
      <c r="F47" s="1293">
        <v>1</v>
      </c>
      <c r="G47" s="769"/>
      <c r="H47" s="769"/>
      <c r="I47" s="769"/>
      <c r="J47" s="769"/>
      <c r="K47" s="769"/>
      <c r="L47" s="770"/>
      <c r="M47" s="426"/>
      <c r="N47" s="426"/>
      <c r="O47" s="426"/>
      <c r="P47" s="301"/>
      <c r="Q47" s="802"/>
      <c r="R47" s="205"/>
      <c r="S47" s="709" t="str">
        <f>INDEX(PT_DIFFERENTIATION_NUM_TER,MATCH(B47,PT_DIFFERENTIATION_TER_ID,0))</f>
        <v>.</v>
      </c>
      <c r="T47" s="177" t="s">
        <v>403</v>
      </c>
      <c r="U47" s="171"/>
      <c r="V47" s="1288"/>
      <c r="W47" s="1288"/>
      <c r="X47" s="1288"/>
      <c r="Y47" s="1288"/>
      <c r="Z47" s="1288"/>
      <c r="AA47" s="1288"/>
      <c r="AB47" s="1288"/>
      <c r="AC47" s="1289"/>
      <c r="AD47" s="1287" t="str">
        <f>INDEX(PT_DIFFERENTIATION_TER,MATCH(B47,PT_DIFFERENTIATION_TER_ID,0))</f>
        <v/>
      </c>
      <c r="AE47" s="1288"/>
      <c r="AF47" s="1288"/>
      <c r="AG47" s="1288"/>
      <c r="AH47" s="1288"/>
      <c r="AI47" s="1288"/>
      <c r="AJ47" s="1288"/>
      <c r="AK47" s="1288"/>
      <c r="AL47" s="1288"/>
      <c r="AM47" s="1288"/>
      <c r="AN47" s="1288"/>
      <c r="AO47" s="1288"/>
      <c r="AP47" s="1288"/>
      <c r="AQ47" s="1288"/>
      <c r="AR47" s="1288"/>
      <c r="AS47" s="1288"/>
      <c r="AT47" s="1288"/>
      <c r="AU47" s="1288"/>
      <c r="AV47" s="1288"/>
      <c r="AW47" s="1288"/>
      <c r="AX47" s="1288"/>
      <c r="AY47" s="1288"/>
      <c r="AZ47" s="1288"/>
      <c r="BA47" s="1288"/>
      <c r="BB47" s="1289"/>
      <c r="BC47" s="729" t="s">
        <v>404</v>
      </c>
      <c r="BE47" s="69"/>
      <c r="BF47" s="69" t="str">
        <f t="shared" si="3"/>
        <v>Территория действия тарифа</v>
      </c>
      <c r="BG47" s="69"/>
      <c r="BH47" s="69"/>
      <c r="BI47" s="11">
        <v>21</v>
      </c>
    </row>
    <row r="48" spans="1:61" ht="35.65" customHeight="1">
      <c r="A48" s="769" t="s">
        <v>267</v>
      </c>
      <c r="B48" s="769" t="s">
        <v>268</v>
      </c>
      <c r="C48" s="769" t="s">
        <v>269</v>
      </c>
      <c r="D48" s="769"/>
      <c r="E48" s="1294"/>
      <c r="F48" s="1294"/>
      <c r="G48" s="1293">
        <v>1</v>
      </c>
      <c r="H48" s="769"/>
      <c r="I48" s="769"/>
      <c r="J48" s="769"/>
      <c r="K48" s="769"/>
      <c r="L48" s="770"/>
      <c r="M48" s="426"/>
      <c r="N48" s="426"/>
      <c r="O48" s="426"/>
      <c r="P48" s="131"/>
      <c r="Q48" s="802"/>
      <c r="R48" s="205"/>
      <c r="S48" s="709" t="str">
        <f>INDEX(PT_DIFFERENTIATION_NUM_CS,MATCH(C48,PT_DIFFERENTIATION_CS_ID,0))</f>
        <v>..</v>
      </c>
      <c r="T48" s="178" t="s">
        <v>534</v>
      </c>
      <c r="U48" s="171"/>
      <c r="V48" s="1288"/>
      <c r="W48" s="1288"/>
      <c r="X48" s="1288"/>
      <c r="Y48" s="1288"/>
      <c r="Z48" s="1288"/>
      <c r="AA48" s="1288"/>
      <c r="AB48" s="1288"/>
      <c r="AC48" s="1289"/>
      <c r="AD48" s="1287" t="str">
        <f>INDEX(PT_DIFFERENTIATION_CS,MATCH(C48,PT_DIFFERENTIATION_CS_ID,0))</f>
        <v/>
      </c>
      <c r="AE48" s="1288"/>
      <c r="AF48" s="1288"/>
      <c r="AG48" s="1288"/>
      <c r="AH48" s="1288"/>
      <c r="AI48" s="1288"/>
      <c r="AJ48" s="1288"/>
      <c r="AK48" s="1288"/>
      <c r="AL48" s="1288"/>
      <c r="AM48" s="1288"/>
      <c r="AN48" s="1288"/>
      <c r="AO48" s="1288"/>
      <c r="AP48" s="1288"/>
      <c r="AQ48" s="1288"/>
      <c r="AR48" s="1288"/>
      <c r="AS48" s="1288"/>
      <c r="AT48" s="1288"/>
      <c r="AU48" s="1288"/>
      <c r="AV48" s="1288"/>
      <c r="AW48" s="1288"/>
      <c r="AX48" s="1288"/>
      <c r="AY48" s="1288"/>
      <c r="AZ48" s="1288"/>
      <c r="BA48" s="1288"/>
      <c r="BB48" s="1289"/>
      <c r="BC48" s="729" t="s">
        <v>535</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267</v>
      </c>
      <c r="B49" s="145" t="s">
        <v>268</v>
      </c>
      <c r="C49" s="145" t="s">
        <v>269</v>
      </c>
      <c r="D49" s="145" t="s">
        <v>548</v>
      </c>
      <c r="E49" s="1294"/>
      <c r="F49" s="1294"/>
      <c r="G49" s="1294"/>
      <c r="H49" s="1293">
        <v>1</v>
      </c>
      <c r="I49" s="145"/>
      <c r="J49" s="145"/>
      <c r="K49" s="145"/>
      <c r="L49" s="346"/>
      <c r="M49" s="293"/>
      <c r="N49" s="293"/>
      <c r="O49" s="293"/>
      <c r="P49" s="820"/>
      <c r="Q49" s="821"/>
      <c r="R49" s="209"/>
      <c r="S49" s="362"/>
      <c r="T49" s="822"/>
      <c r="U49" s="780"/>
      <c r="V49" s="1325"/>
      <c r="W49" s="1325"/>
      <c r="X49" s="1325"/>
      <c r="Y49" s="1325"/>
      <c r="Z49" s="1325"/>
      <c r="AA49" s="1325"/>
      <c r="AB49" s="1325"/>
      <c r="AC49" s="1326"/>
      <c r="AD49" s="1324"/>
      <c r="AE49" s="1325"/>
      <c r="AF49" s="1325"/>
      <c r="AG49" s="1325"/>
      <c r="AH49" s="1325"/>
      <c r="AI49" s="1325"/>
      <c r="AJ49" s="1325"/>
      <c r="AK49" s="1325"/>
      <c r="AL49" s="1325"/>
      <c r="AM49" s="1325"/>
      <c r="AN49" s="1325"/>
      <c r="AO49" s="1325"/>
      <c r="AP49" s="1325"/>
      <c r="AQ49" s="1325"/>
      <c r="AR49" s="1325"/>
      <c r="AS49" s="1325"/>
      <c r="AT49" s="1325"/>
      <c r="AU49" s="1325"/>
      <c r="AV49" s="1325"/>
      <c r="AW49" s="1325"/>
      <c r="AX49" s="1325"/>
      <c r="AY49" s="1325"/>
      <c r="AZ49" s="1325"/>
      <c r="BA49" s="1325"/>
      <c r="BB49" s="1326"/>
      <c r="BC49" s="781" t="s">
        <v>408</v>
      </c>
      <c r="BE49" s="69"/>
      <c r="BF49" s="69" t="str">
        <f t="shared" si="3"/>
        <v/>
      </c>
      <c r="BG49" s="69"/>
      <c r="BH49" s="69"/>
      <c r="BI49" s="68">
        <v>0</v>
      </c>
    </row>
    <row r="50" spans="1:61" s="68" customFormat="1" ht="0" hidden="1" customHeight="1">
      <c r="A50" s="145" t="s">
        <v>267</v>
      </c>
      <c r="B50" s="145" t="s">
        <v>268</v>
      </c>
      <c r="C50" s="145" t="s">
        <v>269</v>
      </c>
      <c r="D50" s="145" t="s">
        <v>548</v>
      </c>
      <c r="E50" s="1294"/>
      <c r="F50" s="1294"/>
      <c r="G50" s="1294"/>
      <c r="H50" s="1294"/>
      <c r="I50" s="1295" t="str">
        <f>S49&amp;".1"</f>
        <v>.1</v>
      </c>
      <c r="J50" s="145"/>
      <c r="K50" s="145"/>
      <c r="L50" s="346" t="s">
        <v>409</v>
      </c>
      <c r="M50" s="290"/>
      <c r="N50" s="290"/>
      <c r="O50" s="290"/>
      <c r="P50" s="1297">
        <v>1</v>
      </c>
      <c r="Q50" s="122"/>
      <c r="R50" s="208"/>
      <c r="S50" s="362"/>
      <c r="T50" s="779"/>
      <c r="U50" s="780"/>
      <c r="V50" s="1325"/>
      <c r="W50" s="1325"/>
      <c r="X50" s="1325"/>
      <c r="Y50" s="1325"/>
      <c r="Z50" s="1325"/>
      <c r="AA50" s="1325"/>
      <c r="AB50" s="1325"/>
      <c r="AC50" s="1326"/>
      <c r="AD50" s="1324"/>
      <c r="AE50" s="1325"/>
      <c r="AF50" s="1325"/>
      <c r="AG50" s="1325"/>
      <c r="AH50" s="1325"/>
      <c r="AI50" s="1325"/>
      <c r="AJ50" s="1325"/>
      <c r="AK50" s="1325"/>
      <c r="AL50" s="1325"/>
      <c r="AM50" s="1325"/>
      <c r="AN50" s="1325"/>
      <c r="AO50" s="1325"/>
      <c r="AP50" s="1325"/>
      <c r="AQ50" s="1325"/>
      <c r="AR50" s="1325"/>
      <c r="AS50" s="1325"/>
      <c r="AT50" s="1325"/>
      <c r="AU50" s="1325"/>
      <c r="AV50" s="1325"/>
      <c r="AW50" s="1325"/>
      <c r="AX50" s="1325"/>
      <c r="AY50" s="1325"/>
      <c r="AZ50" s="1325"/>
      <c r="BA50" s="1325"/>
      <c r="BB50" s="1326"/>
      <c r="BC50" s="781"/>
      <c r="BE50" s="69"/>
      <c r="BF50" s="69" t="str">
        <f t="shared" si="3"/>
        <v/>
      </c>
      <c r="BG50" s="69"/>
      <c r="BH50" s="69"/>
      <c r="BI50" s="68">
        <v>0</v>
      </c>
    </row>
    <row r="51" spans="1:61" s="68" customFormat="1" ht="0" hidden="1" customHeight="1">
      <c r="A51" s="145" t="s">
        <v>267</v>
      </c>
      <c r="B51" s="145" t="s">
        <v>268</v>
      </c>
      <c r="C51" s="145" t="s">
        <v>269</v>
      </c>
      <c r="D51" s="145" t="s">
        <v>548</v>
      </c>
      <c r="E51" s="1294"/>
      <c r="F51" s="1294"/>
      <c r="G51" s="1294"/>
      <c r="H51" s="1294"/>
      <c r="I51" s="1296"/>
      <c r="J51" s="1295" t="str">
        <f>S49&amp;".1"</f>
        <v>.1</v>
      </c>
      <c r="K51" s="145"/>
      <c r="L51" s="346"/>
      <c r="M51" s="290"/>
      <c r="N51" s="290"/>
      <c r="O51" s="290"/>
      <c r="P51" s="1297"/>
      <c r="Q51" s="1297">
        <v>1</v>
      </c>
      <c r="R51" s="209"/>
      <c r="S51" s="362"/>
      <c r="T51" s="794"/>
      <c r="U51" s="780"/>
      <c r="V51" s="1325"/>
      <c r="W51" s="1325"/>
      <c r="X51" s="1325"/>
      <c r="Y51" s="1325"/>
      <c r="Z51" s="1325"/>
      <c r="AA51" s="1325"/>
      <c r="AB51" s="1325"/>
      <c r="AC51" s="1326"/>
      <c r="AD51" s="1324"/>
      <c r="AE51" s="1325"/>
      <c r="AF51" s="1325"/>
      <c r="AG51" s="1325"/>
      <c r="AH51" s="1325"/>
      <c r="AI51" s="1325"/>
      <c r="AJ51" s="1325"/>
      <c r="AK51" s="1325"/>
      <c r="AL51" s="1325"/>
      <c r="AM51" s="1325"/>
      <c r="AN51" s="1378"/>
      <c r="AO51" s="1378"/>
      <c r="AP51" s="1325"/>
      <c r="AQ51" s="1325"/>
      <c r="AR51" s="1325"/>
      <c r="AS51" s="1325"/>
      <c r="AT51" s="1325"/>
      <c r="AU51" s="1325"/>
      <c r="AV51" s="1325"/>
      <c r="AW51" s="1325"/>
      <c r="AX51" s="1325"/>
      <c r="AY51" s="1325"/>
      <c r="AZ51" s="1325"/>
      <c r="BA51" s="1325"/>
      <c r="BB51" s="1326"/>
      <c r="BC51" s="781"/>
      <c r="BE51" s="69"/>
      <c r="BF51" s="69" t="str">
        <f t="shared" si="3"/>
        <v/>
      </c>
      <c r="BG51" s="69"/>
      <c r="BH51" s="69"/>
      <c r="BI51" s="68">
        <v>0</v>
      </c>
    </row>
    <row r="52" spans="1:61" ht="11.45" customHeight="1">
      <c r="A52" s="769" t="s">
        <v>267</v>
      </c>
      <c r="B52" s="769" t="s">
        <v>268</v>
      </c>
      <c r="C52" s="769" t="s">
        <v>269</v>
      </c>
      <c r="D52" s="769" t="s">
        <v>548</v>
      </c>
      <c r="E52" s="1294"/>
      <c r="F52" s="1294"/>
      <c r="G52" s="1294"/>
      <c r="H52" s="1294"/>
      <c r="I52" s="1296"/>
      <c r="J52" s="1296"/>
      <c r="K52" s="1295" t="str">
        <f>S48&amp;".1"</f>
        <v>...1</v>
      </c>
      <c r="L52" s="770"/>
      <c r="P52" s="1297"/>
      <c r="Q52" s="1297"/>
      <c r="R52" s="209">
        <v>1</v>
      </c>
      <c r="S52" s="1350" t="str">
        <f>$K52</f>
        <v>...1</v>
      </c>
      <c r="T52" s="1372"/>
      <c r="U52" s="171"/>
      <c r="V52" s="306"/>
      <c r="W52" s="728"/>
      <c r="X52" s="306"/>
      <c r="Y52" s="728"/>
      <c r="Z52" s="943"/>
      <c r="AA52" s="297" t="s">
        <v>62</v>
      </c>
      <c r="AB52" s="943"/>
      <c r="AC52" s="297" t="s">
        <v>62</v>
      </c>
      <c r="AD52" s="1237" t="s">
        <v>62</v>
      </c>
      <c r="AE52" s="1346"/>
      <c r="AF52" s="1250">
        <v>1</v>
      </c>
      <c r="AG52" s="1371"/>
      <c r="AH52" s="1169" t="s">
        <v>62</v>
      </c>
      <c r="AI52" s="1346"/>
      <c r="AJ52" s="1250">
        <v>1</v>
      </c>
      <c r="AK52" s="1360" t="s">
        <v>22</v>
      </c>
      <c r="AL52" s="1169" t="s">
        <v>62</v>
      </c>
      <c r="AM52" s="1225"/>
      <c r="AN52" s="1250">
        <v>1</v>
      </c>
      <c r="AO52" s="1375"/>
      <c r="AP52" s="1376" t="s">
        <v>62</v>
      </c>
      <c r="AQ52" s="180"/>
      <c r="AR52" s="268">
        <v>1</v>
      </c>
      <c r="AS52" s="119" t="s">
        <v>22</v>
      </c>
      <c r="AT52" s="306"/>
      <c r="AU52" s="728"/>
      <c r="AV52" s="306"/>
      <c r="AW52" s="728"/>
      <c r="AX52" s="943"/>
      <c r="AY52" s="297" t="s">
        <v>62</v>
      </c>
      <c r="AZ52" s="943"/>
      <c r="BA52" s="297" t="s">
        <v>62</v>
      </c>
      <c r="BB52" s="766"/>
      <c r="BC52" s="1316" t="s">
        <v>503</v>
      </c>
      <c r="BE52" s="69"/>
      <c r="BF52" s="69" t="str">
        <f t="shared" si="3"/>
        <v/>
      </c>
      <c r="BG52" s="69"/>
      <c r="BH52" s="69"/>
      <c r="BI52" s="11">
        <v>11</v>
      </c>
    </row>
    <row r="53" spans="1:61" ht="11.45" customHeight="1">
      <c r="A53" s="769"/>
      <c r="B53" s="769"/>
      <c r="C53" s="769"/>
      <c r="D53" s="769"/>
      <c r="E53" s="1294"/>
      <c r="F53" s="1294"/>
      <c r="G53" s="1294"/>
      <c r="H53" s="1294"/>
      <c r="I53" s="1296"/>
      <c r="J53" s="1296"/>
      <c r="K53" s="1295"/>
      <c r="L53" s="770"/>
      <c r="P53" s="1297"/>
      <c r="Q53" s="1297"/>
      <c r="R53" s="209"/>
      <c r="S53" s="1351"/>
      <c r="T53" s="1373"/>
      <c r="U53" s="171"/>
      <c r="V53" s="789"/>
      <c r="W53" s="819"/>
      <c r="X53" s="789"/>
      <c r="Y53" s="819"/>
      <c r="Z53" s="789"/>
      <c r="AA53" s="789"/>
      <c r="AB53" s="789"/>
      <c r="AC53" s="789"/>
      <c r="AD53" s="1238"/>
      <c r="AE53" s="1346"/>
      <c r="AF53" s="1250"/>
      <c r="AG53" s="1371"/>
      <c r="AH53" s="1169"/>
      <c r="AI53" s="1346"/>
      <c r="AJ53" s="1250"/>
      <c r="AK53" s="1360"/>
      <c r="AL53" s="1169"/>
      <c r="AM53" s="1230"/>
      <c r="AN53" s="1250"/>
      <c r="AO53" s="1375"/>
      <c r="AP53" s="1377"/>
      <c r="AQ53" s="184"/>
      <c r="AR53" s="52"/>
      <c r="AS53" s="52" t="s">
        <v>504</v>
      </c>
      <c r="AT53" s="789"/>
      <c r="AU53" s="819"/>
      <c r="AV53" s="789"/>
      <c r="AW53" s="819"/>
      <c r="AX53" s="789"/>
      <c r="AY53" s="789"/>
      <c r="AZ53" s="789"/>
      <c r="BA53" s="789"/>
      <c r="BB53" s="793"/>
      <c r="BC53" s="1317"/>
      <c r="BE53" s="69"/>
      <c r="BF53" s="69"/>
      <c r="BG53" s="69"/>
      <c r="BH53" s="69"/>
      <c r="BI53" s="11">
        <v>11</v>
      </c>
    </row>
    <row r="54" spans="1:61" ht="11.45" customHeight="1">
      <c r="A54" s="769" t="s">
        <v>267</v>
      </c>
      <c r="B54" s="769"/>
      <c r="C54" s="769"/>
      <c r="D54" s="769"/>
      <c r="E54" s="1294"/>
      <c r="F54" s="1294"/>
      <c r="G54" s="1294"/>
      <c r="H54" s="1294"/>
      <c r="I54" s="1296"/>
      <c r="J54" s="1296"/>
      <c r="K54" s="1295"/>
      <c r="L54" s="770"/>
      <c r="P54" s="1297"/>
      <c r="Q54" s="1297"/>
      <c r="R54" s="209"/>
      <c r="S54" s="1351"/>
      <c r="T54" s="1373"/>
      <c r="U54" s="171"/>
      <c r="V54" s="789"/>
      <c r="W54" s="819"/>
      <c r="X54" s="789"/>
      <c r="Y54" s="819"/>
      <c r="Z54" s="789"/>
      <c r="AA54" s="789"/>
      <c r="AB54" s="789"/>
      <c r="AC54" s="789"/>
      <c r="AD54" s="1238"/>
      <c r="AE54" s="1346"/>
      <c r="AF54" s="1250"/>
      <c r="AG54" s="1371"/>
      <c r="AH54" s="1169"/>
      <c r="AI54" s="1346"/>
      <c r="AJ54" s="1250"/>
      <c r="AK54" s="1360"/>
      <c r="AL54" s="1169"/>
      <c r="AM54" s="184"/>
      <c r="AN54" s="823"/>
      <c r="AO54" s="823" t="s">
        <v>505</v>
      </c>
      <c r="AP54" s="52"/>
      <c r="AQ54" s="52"/>
      <c r="AR54" s="52"/>
      <c r="AS54" s="789"/>
      <c r="AT54" s="789"/>
      <c r="AU54" s="819"/>
      <c r="AV54" s="789"/>
      <c r="AW54" s="819"/>
      <c r="AX54" s="789"/>
      <c r="AY54" s="789"/>
      <c r="AZ54" s="789"/>
      <c r="BA54" s="789"/>
      <c r="BB54" s="793"/>
      <c r="BC54" s="1317"/>
      <c r="BE54" s="69"/>
      <c r="BF54" s="69"/>
      <c r="BG54" s="69"/>
      <c r="BH54" s="69"/>
      <c r="BI54" s="11">
        <v>11</v>
      </c>
    </row>
    <row r="55" spans="1:61" ht="11.45" customHeight="1">
      <c r="A55" s="769" t="s">
        <v>267</v>
      </c>
      <c r="B55" s="769"/>
      <c r="C55" s="769"/>
      <c r="D55" s="769"/>
      <c r="E55" s="1294"/>
      <c r="F55" s="1294"/>
      <c r="G55" s="1294"/>
      <c r="H55" s="1294"/>
      <c r="I55" s="1296"/>
      <c r="J55" s="1296"/>
      <c r="K55" s="1295"/>
      <c r="L55" s="770"/>
      <c r="P55" s="1297"/>
      <c r="Q55" s="1297"/>
      <c r="R55" s="209"/>
      <c r="S55" s="1351"/>
      <c r="T55" s="1373"/>
      <c r="U55" s="171"/>
      <c r="V55" s="789"/>
      <c r="W55" s="819"/>
      <c r="X55" s="789"/>
      <c r="Y55" s="819"/>
      <c r="Z55" s="789"/>
      <c r="AA55" s="789"/>
      <c r="AB55" s="789"/>
      <c r="AC55" s="789"/>
      <c r="AD55" s="1238"/>
      <c r="AE55" s="1346"/>
      <c r="AF55" s="1250"/>
      <c r="AG55" s="1371"/>
      <c r="AH55" s="1169"/>
      <c r="AI55" s="169"/>
      <c r="AJ55" s="110"/>
      <c r="AK55" s="182" t="s">
        <v>506</v>
      </c>
      <c r="AL55" s="789"/>
      <c r="AM55" s="789"/>
      <c r="AN55" s="789"/>
      <c r="AO55" s="789"/>
      <c r="AP55" s="789"/>
      <c r="AQ55" s="789"/>
      <c r="AR55" s="789"/>
      <c r="AS55" s="789"/>
      <c r="AT55" s="789"/>
      <c r="AU55" s="819"/>
      <c r="AV55" s="789"/>
      <c r="AW55" s="819"/>
      <c r="AX55" s="789"/>
      <c r="AY55" s="789"/>
      <c r="AZ55" s="789"/>
      <c r="BA55" s="789"/>
      <c r="BB55" s="793"/>
      <c r="BC55" s="1317"/>
      <c r="BE55" s="69"/>
      <c r="BF55" s="69"/>
      <c r="BG55" s="69"/>
      <c r="BH55" s="69"/>
      <c r="BI55" s="11">
        <v>11</v>
      </c>
    </row>
    <row r="56" spans="1:61" ht="11.45" customHeight="1">
      <c r="A56" s="769" t="s">
        <v>267</v>
      </c>
      <c r="B56" s="769" t="s">
        <v>268</v>
      </c>
      <c r="C56" s="769" t="s">
        <v>269</v>
      </c>
      <c r="D56" s="769" t="s">
        <v>548</v>
      </c>
      <c r="E56" s="1294"/>
      <c r="F56" s="1294"/>
      <c r="G56" s="1294"/>
      <c r="H56" s="1294"/>
      <c r="I56" s="1296"/>
      <c r="J56" s="1296"/>
      <c r="K56" s="1295"/>
      <c r="L56" s="770"/>
      <c r="P56" s="1297"/>
      <c r="Q56" s="1297"/>
      <c r="R56" s="209"/>
      <c r="S56" s="1352"/>
      <c r="T56" s="1374"/>
      <c r="U56" s="171"/>
      <c r="V56" s="789"/>
      <c r="W56" s="790" t="str">
        <f>Z52&amp;"-"&amp;AB52</f>
        <v>-</v>
      </c>
      <c r="X56" s="789"/>
      <c r="Y56" s="790" t="str">
        <f>AB52&amp;"-"&amp;AD52</f>
        <v>-да</v>
      </c>
      <c r="Z56" s="789"/>
      <c r="AA56" s="789"/>
      <c r="AB56" s="789"/>
      <c r="AC56" s="789"/>
      <c r="AD56" s="1174"/>
      <c r="AE56" s="181"/>
      <c r="AF56" s="183"/>
      <c r="AG56" s="52" t="s">
        <v>507</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7"/>
      <c r="BE56" s="69"/>
      <c r="BF56" s="69" t="str">
        <f t="shared" ref="BF56:BF63" si="4">IF(T56="","",T56)</f>
        <v/>
      </c>
      <c r="BG56" s="69"/>
      <c r="BH56" s="69"/>
      <c r="BI56" s="11">
        <v>11</v>
      </c>
    </row>
    <row r="57" spans="1:61" ht="11.45" customHeight="1">
      <c r="A57" s="769" t="s">
        <v>267</v>
      </c>
      <c r="B57" s="769" t="s">
        <v>268</v>
      </c>
      <c r="C57" s="769" t="s">
        <v>269</v>
      </c>
      <c r="D57" s="769" t="s">
        <v>548</v>
      </c>
      <c r="E57" s="1294"/>
      <c r="F57" s="1294"/>
      <c r="G57" s="1294"/>
      <c r="H57" s="1294"/>
      <c r="I57" s="1296"/>
      <c r="J57" s="1295"/>
      <c r="K57" s="769"/>
      <c r="L57" s="770"/>
      <c r="P57" s="1297"/>
      <c r="Q57" s="1297"/>
      <c r="R57" s="208"/>
      <c r="S57" s="742"/>
      <c r="T57" s="166" t="s">
        <v>470</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18"/>
      <c r="BE57" s="69"/>
      <c r="BF57" s="69" t="str">
        <f t="shared" si="4"/>
        <v>Добавить строку</v>
      </c>
      <c r="BG57" s="69"/>
      <c r="BH57" s="69"/>
      <c r="BI57" s="11">
        <v>11</v>
      </c>
    </row>
    <row r="58" spans="1:61" s="68" customFormat="1" ht="0" hidden="1" customHeight="1">
      <c r="A58" s="145" t="s">
        <v>267</v>
      </c>
      <c r="B58" s="145" t="s">
        <v>268</v>
      </c>
      <c r="C58" s="145" t="s">
        <v>269</v>
      </c>
      <c r="D58" s="145" t="s">
        <v>548</v>
      </c>
      <c r="E58" s="1294"/>
      <c r="F58" s="1294"/>
      <c r="G58" s="1294"/>
      <c r="H58" s="1294"/>
      <c r="I58" s="1295"/>
      <c r="J58" s="145"/>
      <c r="K58" s="145"/>
      <c r="L58" s="346"/>
      <c r="M58" s="290"/>
      <c r="N58" s="290"/>
      <c r="O58" s="290"/>
      <c r="P58" s="1297"/>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267</v>
      </c>
      <c r="B59" s="145" t="s">
        <v>268</v>
      </c>
      <c r="C59" s="145" t="s">
        <v>269</v>
      </c>
      <c r="D59" s="145" t="s">
        <v>548</v>
      </c>
      <c r="E59" s="1294"/>
      <c r="F59" s="1294"/>
      <c r="G59" s="1294"/>
      <c r="H59" s="1293"/>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267</v>
      </c>
      <c r="B60" s="145" t="s">
        <v>268</v>
      </c>
      <c r="C60" s="145" t="s">
        <v>269</v>
      </c>
      <c r="D60" s="145"/>
      <c r="E60" s="1294"/>
      <c r="F60" s="1294"/>
      <c r="G60" s="1293"/>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267</v>
      </c>
      <c r="B61" s="145" t="s">
        <v>268</v>
      </c>
      <c r="C61" s="145"/>
      <c r="D61" s="145"/>
      <c r="E61" s="1294"/>
      <c r="F61" s="1293"/>
      <c r="G61" s="145"/>
      <c r="H61" s="145"/>
      <c r="I61" s="145"/>
      <c r="J61" s="145"/>
      <c r="K61" s="145"/>
      <c r="L61" s="346"/>
      <c r="M61" s="759"/>
      <c r="N61" s="759"/>
      <c r="P61" s="104"/>
      <c r="Q61" s="755"/>
      <c r="R61" s="104"/>
      <c r="S61" s="760"/>
      <c r="T61" s="762" t="s">
        <v>421</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267</v>
      </c>
      <c r="B62" s="145"/>
      <c r="C62" s="145"/>
      <c r="D62" s="145"/>
      <c r="E62" s="1293"/>
      <c r="F62" s="145"/>
      <c r="G62" s="145"/>
      <c r="H62" s="145"/>
      <c r="I62" s="145"/>
      <c r="J62" s="145"/>
      <c r="K62" s="145"/>
      <c r="L62" s="346"/>
      <c r="M62" s="759"/>
      <c r="N62" s="759"/>
      <c r="P62" s="104"/>
      <c r="Q62" s="755"/>
      <c r="R62" s="104"/>
      <c r="S62" s="760"/>
      <c r="T62" s="762" t="s">
        <v>422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450</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92"/>
      <c r="U65" s="1292"/>
      <c r="V65" s="1292"/>
      <c r="W65" s="1292"/>
      <c r="X65" s="1292"/>
      <c r="Y65" s="1292"/>
      <c r="Z65" s="1292"/>
      <c r="AA65" s="1292"/>
      <c r="AB65" s="1292"/>
      <c r="AC65" s="1292"/>
      <c r="AD65" s="1292"/>
      <c r="AE65" s="1292"/>
      <c r="AF65" s="1292"/>
      <c r="AG65" s="1292"/>
      <c r="AH65" s="1292"/>
      <c r="AI65" s="1292"/>
      <c r="AJ65" s="1292"/>
      <c r="AK65" s="1292"/>
      <c r="AL65" s="1292"/>
      <c r="AM65" s="1292"/>
      <c r="AN65" s="1292"/>
      <c r="AO65" s="1292"/>
      <c r="AP65" s="1292"/>
      <c r="AQ65" s="1292"/>
      <c r="AR65" s="1292"/>
      <c r="AS65" s="1292"/>
      <c r="AT65" s="1292"/>
      <c r="AU65" s="1292"/>
      <c r="AV65" s="1292"/>
      <c r="AW65" s="1292"/>
      <c r="AX65" s="1292"/>
      <c r="AY65" s="1292"/>
      <c r="AZ65" s="1292"/>
      <c r="BA65" s="1292"/>
      <c r="BB65" s="1292"/>
      <c r="BC65" s="1292"/>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92"/>
      <c r="U67" s="1292"/>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R67" s="1292"/>
      <c r="AS67" s="1292"/>
      <c r="AT67" s="1292"/>
      <c r="AU67" s="1292"/>
      <c r="AV67" s="1292"/>
      <c r="AW67" s="1292"/>
      <c r="AX67" s="1292"/>
      <c r="AY67" s="1292"/>
      <c r="AZ67" s="1292"/>
      <c r="BA67" s="1292"/>
      <c r="BB67" s="1292"/>
      <c r="BC67" s="1292"/>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I313"/>
  <sheetViews>
    <sheetView showGridLines="0" topLeftCell="D20"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12" width="40.7109375" style="11" customWidth="1"/>
    <col min="13" max="13" width="102" style="11" customWidth="1"/>
    <col min="14" max="14" width="9" style="63" customWidth="1"/>
    <col min="15" max="15" width="5" style="68" customWidth="1"/>
    <col min="16" max="16" width="3" style="68" customWidth="1"/>
    <col min="17" max="20" width="3" style="63" customWidth="1"/>
    <col min="21" max="21" width="10" style="68" customWidth="1"/>
    <col min="22" max="22" width="34" style="63" customWidth="1"/>
    <col min="23" max="23" width="9" style="63" customWidth="1"/>
    <col min="24" max="24" width="8" style="309" customWidth="1"/>
    <col min="25" max="29" width="8" style="63" customWidth="1"/>
    <col min="30" max="34" width="8" style="8" customWidth="1"/>
    <col min="35" max="35" width="9.140625" style="11" hidden="1"/>
  </cols>
  <sheetData>
    <row r="1" spans="1:35" ht="22.5" hidden="1" customHeight="1">
      <c r="AI1" s="11" t="s">
        <v>14</v>
      </c>
    </row>
    <row r="2" spans="1:35" ht="23.25" hidden="1" customHeight="1">
      <c r="B2" s="1144"/>
      <c r="C2" s="313" t="s">
        <v>549</v>
      </c>
      <c r="D2" s="55"/>
      <c r="E2" s="311">
        <f>B2</f>
        <v>0</v>
      </c>
      <c r="F2" s="312"/>
      <c r="G2" s="41" t="s">
        <v>550</v>
      </c>
      <c r="H2" s="41" t="s">
        <v>550</v>
      </c>
      <c r="I2" s="41" t="s">
        <v>550</v>
      </c>
      <c r="J2" s="41" t="s">
        <v>550</v>
      </c>
      <c r="K2" s="41" t="s">
        <v>550</v>
      </c>
      <c r="L2" s="41" t="s">
        <v>550</v>
      </c>
      <c r="M2" s="67" t="s">
        <v>551</v>
      </c>
      <c r="N2" s="308"/>
      <c r="AI2" s="11">
        <v>0</v>
      </c>
    </row>
    <row r="3" spans="1:35" s="68" customFormat="1" ht="0.75" hidden="1" customHeight="1">
      <c r="B3" s="1144"/>
      <c r="C3" s="313"/>
      <c r="D3" s="313"/>
      <c r="E3" s="314"/>
      <c r="F3" s="315" t="s">
        <v>552</v>
      </c>
      <c r="G3" s="316"/>
      <c r="H3" s="316">
        <f>H4*H5+H6</f>
        <v>0</v>
      </c>
      <c r="I3" s="316">
        <f>I4*I5+I6</f>
        <v>0</v>
      </c>
      <c r="J3" s="316">
        <f>J4*J5+J6</f>
        <v>0</v>
      </c>
      <c r="K3" s="316">
        <f>K4*K5+K6</f>
        <v>0</v>
      </c>
      <c r="L3" s="316">
        <f>L4*L5+L6</f>
        <v>0</v>
      </c>
      <c r="M3" s="317"/>
      <c r="AI3" s="68">
        <v>0</v>
      </c>
    </row>
    <row r="4" spans="1:35" ht="23.25" hidden="1" customHeight="1">
      <c r="B4" s="1144"/>
      <c r="C4" s="313"/>
      <c r="D4" s="55"/>
      <c r="E4" s="311" t="str">
        <f>B2&amp;".1"</f>
        <v>.1</v>
      </c>
      <c r="F4" s="318" t="s">
        <v>553</v>
      </c>
      <c r="G4" s="319"/>
      <c r="H4" s="306"/>
      <c r="I4" s="306"/>
      <c r="J4" s="306"/>
      <c r="K4" s="306"/>
      <c r="L4" s="306"/>
      <c r="M4" s="67" t="s">
        <v>554</v>
      </c>
      <c r="N4" s="308"/>
      <c r="AI4" s="11">
        <v>0</v>
      </c>
    </row>
    <row r="5" spans="1:35" ht="18.75" hidden="1" customHeight="1">
      <c r="B5" s="1144"/>
      <c r="C5" s="313"/>
      <c r="D5" s="55"/>
      <c r="E5" s="311" t="str">
        <f>B2&amp;".2"</f>
        <v>.2</v>
      </c>
      <c r="F5" s="318" t="s">
        <v>555</v>
      </c>
      <c r="G5" s="41" t="s">
        <v>556</v>
      </c>
      <c r="H5" s="306"/>
      <c r="I5" s="306"/>
      <c r="J5" s="306"/>
      <c r="K5" s="306"/>
      <c r="L5" s="306"/>
      <c r="M5" s="67"/>
      <c r="N5" s="308"/>
      <c r="AI5" s="11">
        <v>0</v>
      </c>
    </row>
    <row r="6" spans="1:35" ht="18.75" hidden="1" customHeight="1">
      <c r="B6" s="1144"/>
      <c r="C6" s="313"/>
      <c r="D6" s="55"/>
      <c r="E6" s="311" t="str">
        <f>B2&amp;".3"</f>
        <v>.3</v>
      </c>
      <c r="F6" s="318" t="s">
        <v>557</v>
      </c>
      <c r="G6" s="41" t="s">
        <v>556</v>
      </c>
      <c r="H6" s="306"/>
      <c r="I6" s="306"/>
      <c r="J6" s="306"/>
      <c r="K6" s="306"/>
      <c r="L6" s="306"/>
      <c r="M6" s="67"/>
      <c r="N6" s="308"/>
      <c r="AI6" s="11">
        <v>0</v>
      </c>
    </row>
    <row r="7" spans="1:35" ht="18.75" hidden="1" customHeight="1">
      <c r="B7" s="1144"/>
      <c r="C7" s="313"/>
      <c r="D7" s="55"/>
      <c r="E7" s="311" t="str">
        <f>B2&amp;".4"</f>
        <v>.4</v>
      </c>
      <c r="F7" s="318" t="s">
        <v>558</v>
      </c>
      <c r="G7" s="41" t="s">
        <v>550</v>
      </c>
      <c r="H7" s="320"/>
      <c r="I7" s="320"/>
      <c r="J7" s="320"/>
      <c r="K7" s="320"/>
      <c r="L7" s="320"/>
      <c r="M7" s="67"/>
      <c r="N7" s="308"/>
      <c r="AI7" s="11">
        <v>0</v>
      </c>
    </row>
    <row r="8" spans="1:35" s="63" customFormat="1" ht="11.25" hidden="1" customHeight="1">
      <c r="A8" s="572"/>
      <c r="C8" s="68"/>
      <c r="H8" s="63">
        <v>4</v>
      </c>
      <c r="I8" s="63">
        <v>4</v>
      </c>
      <c r="J8" s="63">
        <v>4</v>
      </c>
      <c r="K8" s="63">
        <v>4</v>
      </c>
      <c r="L8" s="63">
        <v>4</v>
      </c>
      <c r="O8" s="68"/>
      <c r="P8" s="68"/>
      <c r="U8" s="68"/>
      <c r="AI8" s="63">
        <v>0</v>
      </c>
    </row>
    <row r="9" spans="1:35" s="63" customFormat="1" ht="22.5" hidden="1" customHeight="1">
      <c r="A9" s="572"/>
      <c r="C9" s="68"/>
      <c r="D9" s="304"/>
      <c r="E9" s="41"/>
      <c r="F9" s="305"/>
      <c r="G9" s="41" t="s">
        <v>556</v>
      </c>
      <c r="H9" s="306"/>
      <c r="I9" s="306"/>
      <c r="J9" s="306"/>
      <c r="K9" s="306"/>
      <c r="L9" s="306"/>
      <c r="M9" s="307" t="s">
        <v>559</v>
      </c>
      <c r="N9" s="308"/>
      <c r="O9" s="68"/>
      <c r="P9" s="68"/>
      <c r="U9" s="68"/>
      <c r="X9" s="309"/>
      <c r="AD9" s="8"/>
      <c r="AE9" s="8"/>
      <c r="AF9" s="8"/>
      <c r="AG9" s="8"/>
      <c r="AH9" s="8"/>
      <c r="AI9" s="63">
        <v>0</v>
      </c>
    </row>
    <row r="10" spans="1:35" ht="11.25" hidden="1" customHeight="1">
      <c r="AI10" s="11">
        <v>0</v>
      </c>
    </row>
    <row r="11" spans="1:35" ht="18.75" hidden="1" customHeight="1">
      <c r="D11" s="55"/>
      <c r="E11" s="311"/>
      <c r="F11" s="305"/>
      <c r="G11" s="41" t="s">
        <v>560</v>
      </c>
      <c r="H11" s="306"/>
      <c r="I11" s="306"/>
      <c r="J11" s="306"/>
      <c r="K11" s="306"/>
      <c r="L11" s="306"/>
      <c r="M11" s="67" t="s">
        <v>561</v>
      </c>
      <c r="N11" s="308"/>
      <c r="AI11" s="11">
        <v>0</v>
      </c>
    </row>
    <row r="12" spans="1:35" ht="11.25" hidden="1" customHeight="1">
      <c r="AI12" s="11">
        <v>0</v>
      </c>
    </row>
    <row r="13" spans="1:35" ht="22.5" hidden="1" customHeight="1">
      <c r="D13" s="55"/>
      <c r="E13" s="311"/>
      <c r="F13" s="305"/>
      <c r="G13" s="395" t="s">
        <v>562</v>
      </c>
      <c r="H13" s="310"/>
      <c r="I13" s="310"/>
      <c r="J13" s="310"/>
      <c r="K13" s="310"/>
      <c r="L13" s="310"/>
      <c r="M13" s="433" t="s">
        <v>563</v>
      </c>
      <c r="N13" s="308"/>
      <c r="AI13" s="11">
        <v>0</v>
      </c>
    </row>
    <row r="14" spans="1:35" ht="11.25" hidden="1" customHeight="1">
      <c r="AI14" s="11">
        <v>0</v>
      </c>
    </row>
    <row r="15" spans="1:35" ht="22.5" hidden="1" customHeight="1">
      <c r="D15" s="55"/>
      <c r="E15" s="311"/>
      <c r="F15" s="305"/>
      <c r="G15" s="41" t="s">
        <v>564</v>
      </c>
      <c r="H15" s="310"/>
      <c r="I15" s="310"/>
      <c r="J15" s="310"/>
      <c r="K15" s="310"/>
      <c r="L15" s="310"/>
      <c r="M15" s="67" t="s">
        <v>565</v>
      </c>
      <c r="N15" s="308"/>
      <c r="AI15" s="11">
        <v>0</v>
      </c>
    </row>
    <row r="16" spans="1:35" ht="11.25" hidden="1" customHeight="1">
      <c r="AI16" s="11">
        <v>0</v>
      </c>
    </row>
    <row r="17" spans="1:35" ht="22.5" hidden="1" customHeight="1">
      <c r="D17" s="55"/>
      <c r="E17" s="311"/>
      <c r="F17" s="305"/>
      <c r="G17" s="41" t="s">
        <v>566</v>
      </c>
      <c r="H17" s="310"/>
      <c r="I17" s="310"/>
      <c r="J17" s="310"/>
      <c r="K17" s="310"/>
      <c r="L17" s="310"/>
      <c r="M17" s="67" t="s">
        <v>567</v>
      </c>
      <c r="N17" s="308"/>
      <c r="AI17" s="11">
        <v>0</v>
      </c>
    </row>
    <row r="18" spans="1:35" ht="11.25" hidden="1" customHeight="1">
      <c r="AI18" s="11">
        <v>0</v>
      </c>
    </row>
    <row r="19" spans="1:35" s="8" customFormat="1" ht="11.25" hidden="1" customHeight="1">
      <c r="A19" s="572"/>
      <c r="B19" s="63"/>
      <c r="C19" s="68"/>
      <c r="M19" s="8">
        <v>4</v>
      </c>
      <c r="N19" s="63"/>
      <c r="O19" s="68"/>
      <c r="P19" s="68"/>
      <c r="Q19" s="63"/>
      <c r="R19" s="63"/>
      <c r="S19" s="63"/>
      <c r="T19" s="63"/>
      <c r="U19" s="68"/>
      <c r="V19" s="63"/>
      <c r="W19" s="63"/>
      <c r="X19" s="309"/>
      <c r="Y19" s="63"/>
      <c r="Z19" s="63"/>
      <c r="AA19" s="63"/>
      <c r="AB19" s="63"/>
      <c r="AC19" s="63"/>
      <c r="AI19" s="8">
        <v>0</v>
      </c>
    </row>
    <row r="20" spans="1:35" ht="11.45" customHeight="1">
      <c r="AI20" s="11">
        <v>11</v>
      </c>
    </row>
    <row r="21" spans="1:35" ht="25.15" customHeight="1">
      <c r="E21" s="127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74"/>
      <c r="G21" s="1274"/>
      <c r="H21" s="1274"/>
      <c r="I21" s="1274"/>
      <c r="J21" s="1105"/>
      <c r="K21" s="1105"/>
      <c r="L21" s="1105"/>
      <c r="M21" s="59"/>
      <c r="AI21" s="11">
        <v>24</v>
      </c>
    </row>
    <row r="22" spans="1:35" ht="25.15" customHeight="1">
      <c r="E22" s="1246" t="str">
        <f>IF(org=0,"Не определено",org)</f>
        <v>Сургутское городское муниципальное унитарное предприятие "Горводоканал"</v>
      </c>
      <c r="F22" s="1246"/>
      <c r="G22" s="1246"/>
      <c r="H22" s="1246"/>
      <c r="I22" s="1246"/>
      <c r="J22" s="1103"/>
      <c r="K22" s="1103"/>
      <c r="L22" s="1103"/>
      <c r="AI22" s="11">
        <v>24</v>
      </c>
    </row>
    <row r="23" spans="1:35" ht="11.45" customHeight="1">
      <c r="E23" s="668"/>
      <c r="F23" s="668"/>
      <c r="G23" s="668"/>
      <c r="H23" s="668"/>
      <c r="I23" s="668"/>
      <c r="J23" s="668" t="s">
        <v>22</v>
      </c>
      <c r="K23" s="668" t="s">
        <v>22</v>
      </c>
      <c r="L23" s="668" t="s">
        <v>22</v>
      </c>
      <c r="AI23" s="11">
        <v>11</v>
      </c>
    </row>
    <row r="24" spans="1:35" s="68" customFormat="1" ht="1.1499999999999999" customHeight="1">
      <c r="A24" s="313"/>
      <c r="H24" s="514"/>
      <c r="I24" s="514" t="s">
        <v>117</v>
      </c>
      <c r="J24" s="514" t="s">
        <v>123</v>
      </c>
      <c r="K24" s="514" t="s">
        <v>125</v>
      </c>
      <c r="L24" s="514" t="s">
        <v>127</v>
      </c>
      <c r="AI24" s="68">
        <v>1</v>
      </c>
    </row>
    <row r="25" spans="1:35" ht="11.45" customHeight="1">
      <c r="E25" s="409"/>
      <c r="F25" s="1383" t="s">
        <v>105</v>
      </c>
      <c r="G25" s="1384"/>
      <c r="H25" s="858" t="str">
        <f>IF(H24="","",INDEX(DIFFERENTIATION_UNMERGE_VD,MATCH(H24,DIFFERENTIATION_ID_DIFF,0)))</f>
        <v/>
      </c>
      <c r="I25" s="858" t="str">
        <f>IF(I24="","",INDEX(DIFFERENTIATION_UNMERGE_VD,MATCH(I24,DIFFERENTIATION_ID_DIFF,0)))</f>
        <v>Холодное водоснабжение. Питьевая вода</v>
      </c>
      <c r="J25" s="858" t="str">
        <f>IF(J24="","",INDEX(DIFFERENTIATION_UNMERGE_VD,MATCH(J24,DIFFERENTIATION_ID_DIFF,0)))</f>
        <v>Транспортировка. Питьевая вода</v>
      </c>
      <c r="K25" s="858" t="str">
        <f>IF(K24="","",INDEX(DIFFERENTIATION_UNMERGE_VD,MATCH(K24,DIFFERENTIATION_ID_DIFF,0)))</f>
        <v>Подключение (технологическое присоединение) к централизованной системе водоснабжения</v>
      </c>
      <c r="L25" s="858" t="str">
        <f>IF(L24="","",INDEX(DIFFERENTIATION_UNMERGE_VD,MATCH(L24,DIFFERENTIATION_ID_DIFF,0)))</f>
        <v>Холодное водоснабжение. Подвозная вода</v>
      </c>
      <c r="M25" s="1159"/>
      <c r="AI25" s="11">
        <v>11</v>
      </c>
    </row>
    <row r="26" spans="1:35" ht="11.45" customHeight="1">
      <c r="E26" s="409"/>
      <c r="F26" s="1383" t="s">
        <v>568</v>
      </c>
      <c r="G26" s="1384"/>
      <c r="H26" s="858" t="str">
        <f>IF(H24="","",INDEX(DIFFERENTIATION_UNMERGE_AREA,MATCH(H24,DIFFERENTIATION_ID_DIFF,0)))</f>
        <v/>
      </c>
      <c r="I26" s="858" t="str">
        <f>IF(I24="","",INDEX(DIFFERENTIATION_UNMERGE_AREA,MATCH(I24,DIFFERENTIATION_ID_DIFF,0)))</f>
        <v>без дифференциации</v>
      </c>
      <c r="J26" s="858" t="str">
        <f>IF(J24="","",INDEX(DIFFERENTIATION_UNMERGE_AREA,MATCH(J24,DIFFERENTIATION_ID_DIFF,0)))</f>
        <v>без дифференциации</v>
      </c>
      <c r="K26" s="858" t="str">
        <f>IF(K24="","",INDEX(DIFFERENTIATION_UNMERGE_AREA,MATCH(K24,DIFFERENTIATION_ID_DIFF,0)))</f>
        <v>без дифференциации</v>
      </c>
      <c r="L26" s="858" t="str">
        <f>IF(L24="","",INDEX(DIFFERENTIATION_UNMERGE_AREA,MATCH(L24,DIFFERENTIATION_ID_DIFF,0)))</f>
        <v>без дифференциации</v>
      </c>
      <c r="M26" s="1159"/>
      <c r="AI26" s="11">
        <v>11</v>
      </c>
    </row>
    <row r="27" spans="1:35" ht="11.45" customHeight="1">
      <c r="E27" s="409"/>
      <c r="F27" s="1383" t="s">
        <v>569</v>
      </c>
      <c r="G27" s="1384"/>
      <c r="H27" s="858" t="str">
        <f>IF(H24="","",INDEX(DIFFERENTIATION_UNMERGE_SYSTEM,MATCH(H24,DIFFERENTIATION_ID_DIFF,0)))</f>
        <v/>
      </c>
      <c r="I27" s="858" t="str">
        <f>IF(I24="","",INDEX(DIFFERENTIATION_UNMERGE_SYSTEM,MATCH(I24,DIFFERENTIATION_ID_DIFF,0)))</f>
        <v>без дифференциации</v>
      </c>
      <c r="J27" s="858" t="str">
        <f>IF(J24="","",INDEX(DIFFERENTIATION_UNMERGE_SYSTEM,MATCH(J24,DIFFERENTIATION_ID_DIFF,0)))</f>
        <v>без дифференциации</v>
      </c>
      <c r="K27" s="858" t="str">
        <f>IF(K24="","",INDEX(DIFFERENTIATION_UNMERGE_SYSTEM,MATCH(K24,DIFFERENTIATION_ID_DIFF,0)))</f>
        <v>без дифференциации</v>
      </c>
      <c r="L27" s="858" t="str">
        <f>IF(L24="","",INDEX(DIFFERENTIATION_UNMERGE_SYSTEM,MATCH(L24,DIFFERENTIATION_ID_DIFF,0)))</f>
        <v>без дифференциации</v>
      </c>
      <c r="M27" s="1159"/>
      <c r="AI27" s="11">
        <v>11</v>
      </c>
    </row>
    <row r="28" spans="1:35" ht="11.45" customHeight="1">
      <c r="E28" s="1385" t="s">
        <v>306</v>
      </c>
      <c r="F28" s="1386"/>
      <c r="G28" s="1386"/>
      <c r="H28" s="512"/>
      <c r="I28" s="512"/>
      <c r="J28" s="512"/>
      <c r="K28" s="512"/>
      <c r="L28" s="512"/>
      <c r="M28" s="1159"/>
      <c r="AI28" s="11">
        <v>11</v>
      </c>
    </row>
    <row r="29" spans="1:35" ht="24" customHeight="1">
      <c r="E29" s="41" t="s">
        <v>88</v>
      </c>
      <c r="F29" s="41" t="s">
        <v>308</v>
      </c>
      <c r="G29" s="41" t="s">
        <v>570</v>
      </c>
      <c r="H29" s="41" t="s">
        <v>309</v>
      </c>
      <c r="I29" s="41" t="s">
        <v>309</v>
      </c>
      <c r="J29" s="41" t="s">
        <v>309</v>
      </c>
      <c r="K29" s="41" t="s">
        <v>309</v>
      </c>
      <c r="L29" s="41" t="s">
        <v>309</v>
      </c>
      <c r="M29" s="1159"/>
      <c r="AI29" s="11">
        <v>23</v>
      </c>
    </row>
    <row r="30" spans="1:35" ht="24" customHeight="1">
      <c r="D30" s="55"/>
      <c r="E30" s="311">
        <f>FHD_NUM_P_1</f>
        <v>1</v>
      </c>
      <c r="F30" s="153" t="str">
        <f>FHD_P_1</f>
        <v>Выручка от регулируемых видов деятельности в сфере холодного водоснабжения</v>
      </c>
      <c r="G30" s="41" t="s">
        <v>556</v>
      </c>
      <c r="H30" s="321"/>
      <c r="I30" s="321">
        <v>1316745.19</v>
      </c>
      <c r="J30" s="321">
        <v>56.06</v>
      </c>
      <c r="K30" s="321">
        <v>6129.89</v>
      </c>
      <c r="L30" s="321">
        <v>4737.41</v>
      </c>
      <c r="M30" s="67" t="str">
        <f>FHD_NOTE_P_1</f>
        <v>Указывается выручка с распределением по видам деятельности.</v>
      </c>
      <c r="N30" s="308"/>
      <c r="AI30" s="11">
        <v>19</v>
      </c>
    </row>
    <row r="31" spans="1:35" ht="35.25" customHeight="1">
      <c r="D31" s="55"/>
      <c r="E31" s="311">
        <f>FHD_NUM_P_2</f>
        <v>2</v>
      </c>
      <c r="F31" s="153" t="str">
        <f>FHD_P_2</f>
        <v>Себестоимость производимых товаров (оказываемых услуг) по регулируемым видам деятельности в сфере холодного водоснабжения, включая:</v>
      </c>
      <c r="G31" s="41" t="s">
        <v>556</v>
      </c>
      <c r="H31" s="322">
        <f>SUMIF($N32:$N74,$N31,H32:H74)</f>
        <v>0</v>
      </c>
      <c r="I31" s="322">
        <f>SUMIF($N32:$N74,$N31,I32:I74)</f>
        <v>1115767.8800000001</v>
      </c>
      <c r="J31" s="322">
        <f>SUMIF($N32:$N74,$N31,J32:J74)</f>
        <v>521.68000000000006</v>
      </c>
      <c r="K31" s="322">
        <f>SUMIF($N32:$N74,$N31,K32:K74)</f>
        <v>1259.1400000000001</v>
      </c>
      <c r="L31" s="322">
        <f>SUMIF($N32:$N74,$N31,L32:L74)</f>
        <v>5324.73</v>
      </c>
      <c r="M31" s="67" t="str">
        <f>FHD_NOTE_P_2</f>
        <v>Указывается суммарная себестоимость производимых товаров.</v>
      </c>
      <c r="N31" s="68" t="s">
        <v>571</v>
      </c>
      <c r="AI31" s="11">
        <v>11</v>
      </c>
    </row>
    <row r="32" spans="1:35" ht="11.45" customHeight="1">
      <c r="D32" s="55"/>
      <c r="E32" s="311" t="str">
        <f>FHD_NUM_P_3</f>
        <v>2.1</v>
      </c>
      <c r="F32" s="323" t="str">
        <f>FHD_P_3</f>
        <v>Расходы на оплату холодной воды, приобретаемой у других организаций для последующей подачи потребителям</v>
      </c>
      <c r="G32" s="41" t="s">
        <v>556</v>
      </c>
      <c r="H32" s="321"/>
      <c r="I32" s="321">
        <v>0</v>
      </c>
      <c r="J32" s="321">
        <v>0</v>
      </c>
      <c r="K32" s="321">
        <v>0</v>
      </c>
      <c r="L32" s="321">
        <v>0</v>
      </c>
      <c r="M32" s="67" t="str">
        <f>FHD_NOTE_P_3</f>
        <v/>
      </c>
      <c r="N32" s="68" t="str">
        <f t="shared" ref="N32:N70" si="0">IF((LEN(E32)-LEN(SUBSTITUTE(E32,".","")))/LEN(".")=1,"p","")</f>
        <v>p</v>
      </c>
      <c r="AI32" s="11">
        <v>11</v>
      </c>
    </row>
    <row r="33" spans="1:35" ht="13.5" hidden="1" customHeight="1">
      <c r="A33" s="1380" t="s">
        <v>572</v>
      </c>
      <c r="D33" s="55"/>
      <c r="E33" s="311" t="str">
        <f>FHD_NUM_P_4</f>
        <v/>
      </c>
      <c r="F33" s="323" t="str">
        <f>FHD_P_4</f>
        <v/>
      </c>
      <c r="G33" s="41" t="s">
        <v>556</v>
      </c>
      <c r="H33" s="322">
        <f>SUMIF($F34:$F40,$F3,H34:H40)</f>
        <v>0</v>
      </c>
      <c r="I33" s="322">
        <f>SUMIF($F34:$F40,$F3,I34:I40)</f>
        <v>0</v>
      </c>
      <c r="J33" s="322">
        <f>SUMIF($F34:$F40,$F3,J34:J40)</f>
        <v>0</v>
      </c>
      <c r="K33" s="322">
        <f>SUMIF($F34:$F40,$F3,K34:K40)</f>
        <v>0</v>
      </c>
      <c r="L33" s="322">
        <f>SUMIF($F34:$F40,$F3,L34:L40)</f>
        <v>0</v>
      </c>
      <c r="M33" s="67" t="str">
        <f>FHD_NOTE_P_4</f>
        <v/>
      </c>
      <c r="N33" s="68" t="str">
        <f t="shared" si="0"/>
        <v/>
      </c>
      <c r="AI33" s="11">
        <v>0</v>
      </c>
    </row>
    <row r="34" spans="1:35" s="203" customFormat="1" ht="11.25" hidden="1" customHeight="1">
      <c r="A34" s="1380"/>
      <c r="B34" s="1381" t="str">
        <f>E33&amp;".0"</f>
        <v>.0</v>
      </c>
      <c r="C34" s="313"/>
      <c r="D34" s="324"/>
      <c r="E34" s="325"/>
      <c r="F34" s="326"/>
      <c r="G34" s="327"/>
      <c r="H34" s="285"/>
      <c r="I34" s="285"/>
      <c r="J34" s="285"/>
      <c r="K34" s="285"/>
      <c r="L34" s="285"/>
      <c r="M34" s="328"/>
      <c r="N34" s="68" t="str">
        <f t="shared" si="0"/>
        <v/>
      </c>
      <c r="O34" s="68"/>
      <c r="P34" s="68"/>
      <c r="Q34" s="68"/>
      <c r="R34" s="68"/>
      <c r="S34" s="68"/>
      <c r="T34" s="68"/>
      <c r="U34" s="68"/>
      <c r="V34" s="68"/>
      <c r="W34" s="68"/>
      <c r="X34" s="329"/>
      <c r="Y34" s="68"/>
      <c r="Z34" s="68"/>
      <c r="AA34" s="68"/>
      <c r="AB34" s="68"/>
      <c r="AC34" s="68"/>
      <c r="AD34" s="142"/>
      <c r="AE34" s="142"/>
      <c r="AF34" s="142"/>
      <c r="AG34" s="142"/>
      <c r="AH34" s="142"/>
      <c r="AI34" s="203">
        <v>0</v>
      </c>
    </row>
    <row r="35" spans="1:35" s="203" customFormat="1" ht="11.25" hidden="1" customHeight="1">
      <c r="A35" s="1380"/>
      <c r="B35" s="1381"/>
      <c r="C35" s="313"/>
      <c r="D35" s="324"/>
      <c r="E35" s="330"/>
      <c r="F35" s="331"/>
      <c r="G35" s="327"/>
      <c r="H35" s="332"/>
      <c r="I35" s="332"/>
      <c r="J35" s="332"/>
      <c r="K35" s="332"/>
      <c r="L35" s="332"/>
      <c r="M35" s="328"/>
      <c r="N35" s="68" t="str">
        <f t="shared" si="0"/>
        <v/>
      </c>
      <c r="O35" s="68"/>
      <c r="P35" s="68"/>
      <c r="Q35" s="68"/>
      <c r="R35" s="68"/>
      <c r="S35" s="68"/>
      <c r="T35" s="68"/>
      <c r="U35" s="68"/>
      <c r="V35" s="68"/>
      <c r="W35" s="68"/>
      <c r="X35" s="329"/>
      <c r="Y35" s="68"/>
      <c r="Z35" s="68"/>
      <c r="AA35" s="68"/>
      <c r="AB35" s="68"/>
      <c r="AC35" s="68"/>
      <c r="AD35" s="142"/>
      <c r="AE35" s="142"/>
      <c r="AF35" s="142"/>
      <c r="AG35" s="142"/>
      <c r="AH35" s="142"/>
      <c r="AI35" s="203">
        <v>0</v>
      </c>
    </row>
    <row r="36" spans="1:35" s="203" customFormat="1" ht="11.25" hidden="1" customHeight="1">
      <c r="A36" s="1380"/>
      <c r="B36" s="1381"/>
      <c r="C36" s="313"/>
      <c r="D36" s="324"/>
      <c r="E36" s="330"/>
      <c r="F36" s="331"/>
      <c r="G36" s="327"/>
      <c r="H36" s="332"/>
      <c r="I36" s="332"/>
      <c r="J36" s="332"/>
      <c r="K36" s="332"/>
      <c r="L36" s="332"/>
      <c r="M36" s="328"/>
      <c r="N36" s="68" t="str">
        <f t="shared" si="0"/>
        <v/>
      </c>
      <c r="O36" s="68"/>
      <c r="P36" s="68"/>
      <c r="Q36" s="68"/>
      <c r="R36" s="68"/>
      <c r="S36" s="68"/>
      <c r="T36" s="68"/>
      <c r="U36" s="68"/>
      <c r="V36" s="68"/>
      <c r="W36" s="68"/>
      <c r="X36" s="329"/>
      <c r="Y36" s="68"/>
      <c r="Z36" s="68"/>
      <c r="AA36" s="68"/>
      <c r="AB36" s="68"/>
      <c r="AC36" s="68"/>
      <c r="AD36" s="142"/>
      <c r="AE36" s="142"/>
      <c r="AF36" s="142"/>
      <c r="AG36" s="142"/>
      <c r="AH36" s="142"/>
      <c r="AI36" s="203">
        <v>0</v>
      </c>
    </row>
    <row r="37" spans="1:35" s="203" customFormat="1" ht="11.25" hidden="1" customHeight="1">
      <c r="A37" s="1380"/>
      <c r="B37" s="1381"/>
      <c r="C37" s="313"/>
      <c r="D37" s="324"/>
      <c r="E37" s="330"/>
      <c r="F37" s="331"/>
      <c r="G37" s="327"/>
      <c r="H37" s="332"/>
      <c r="I37" s="332"/>
      <c r="J37" s="332"/>
      <c r="K37" s="332"/>
      <c r="L37" s="332"/>
      <c r="M37" s="328"/>
      <c r="N37" s="68" t="str">
        <f t="shared" si="0"/>
        <v/>
      </c>
      <c r="O37" s="68"/>
      <c r="P37" s="68"/>
      <c r="Q37" s="68"/>
      <c r="R37" s="68"/>
      <c r="S37" s="68"/>
      <c r="T37" s="68"/>
      <c r="U37" s="68"/>
      <c r="V37" s="68"/>
      <c r="W37" s="68"/>
      <c r="X37" s="329"/>
      <c r="Y37" s="68"/>
      <c r="Z37" s="68"/>
      <c r="AA37" s="68"/>
      <c r="AB37" s="68"/>
      <c r="AC37" s="68"/>
      <c r="AD37" s="142"/>
      <c r="AE37" s="142"/>
      <c r="AF37" s="142"/>
      <c r="AG37" s="142"/>
      <c r="AH37" s="142"/>
      <c r="AI37" s="203">
        <v>0</v>
      </c>
    </row>
    <row r="38" spans="1:35" s="203" customFormat="1" ht="11.25" hidden="1" customHeight="1">
      <c r="A38" s="1380"/>
      <c r="B38" s="1381"/>
      <c r="C38" s="313"/>
      <c r="D38" s="324"/>
      <c r="E38" s="330"/>
      <c r="F38" s="331"/>
      <c r="G38" s="327"/>
      <c r="H38" s="332"/>
      <c r="I38" s="332"/>
      <c r="J38" s="332"/>
      <c r="K38" s="332"/>
      <c r="L38" s="332"/>
      <c r="M38" s="328"/>
      <c r="N38" s="68" t="str">
        <f t="shared" si="0"/>
        <v/>
      </c>
      <c r="O38" s="68"/>
      <c r="P38" s="68"/>
      <c r="Q38" s="68"/>
      <c r="R38" s="68"/>
      <c r="S38" s="68"/>
      <c r="T38" s="68"/>
      <c r="U38" s="68"/>
      <c r="V38" s="68"/>
      <c r="W38" s="68"/>
      <c r="X38" s="329"/>
      <c r="Y38" s="68"/>
      <c r="Z38" s="68"/>
      <c r="AA38" s="68"/>
      <c r="AB38" s="68"/>
      <c r="AC38" s="68"/>
      <c r="AD38" s="142"/>
      <c r="AE38" s="142"/>
      <c r="AF38" s="142"/>
      <c r="AG38" s="142"/>
      <c r="AH38" s="142"/>
      <c r="AI38" s="203">
        <v>0</v>
      </c>
    </row>
    <row r="39" spans="1:35" s="203" customFormat="1" ht="11.25" hidden="1" customHeight="1">
      <c r="A39" s="1380"/>
      <c r="B39" s="1381"/>
      <c r="C39" s="313"/>
      <c r="D39" s="324"/>
      <c r="E39" s="330"/>
      <c r="F39" s="331"/>
      <c r="G39" s="327"/>
      <c r="H39" s="285"/>
      <c r="I39" s="285"/>
      <c r="J39" s="285"/>
      <c r="K39" s="285"/>
      <c r="L39" s="285"/>
      <c r="M39" s="328"/>
      <c r="N39" s="68" t="str">
        <f t="shared" si="0"/>
        <v/>
      </c>
      <c r="O39" s="68"/>
      <c r="P39" s="68"/>
      <c r="Q39" s="68"/>
      <c r="R39" s="68"/>
      <c r="S39" s="68"/>
      <c r="T39" s="68"/>
      <c r="U39" s="68"/>
      <c r="V39" s="68"/>
      <c r="W39" s="68"/>
      <c r="X39" s="329"/>
      <c r="Y39" s="68"/>
      <c r="Z39" s="68"/>
      <c r="AA39" s="68"/>
      <c r="AB39" s="68"/>
      <c r="AC39" s="68"/>
      <c r="AD39" s="142"/>
      <c r="AE39" s="142"/>
      <c r="AF39" s="142"/>
      <c r="AG39" s="142"/>
      <c r="AH39" s="142"/>
      <c r="AI39" s="203">
        <v>0</v>
      </c>
    </row>
    <row r="40" spans="1:35" s="63" customFormat="1" ht="13.5" hidden="1" customHeight="1">
      <c r="A40" s="1380"/>
      <c r="C40" s="68"/>
      <c r="D40" s="77"/>
      <c r="E40" s="333"/>
      <c r="F40" s="111" t="s">
        <v>573</v>
      </c>
      <c r="G40" s="334"/>
      <c r="H40" s="335"/>
      <c r="I40" s="335"/>
      <c r="J40" s="335"/>
      <c r="K40" s="335"/>
      <c r="L40" s="335"/>
      <c r="M40" s="172"/>
      <c r="N40" s="68" t="str">
        <f t="shared" si="0"/>
        <v/>
      </c>
      <c r="O40" s="68"/>
      <c r="P40" s="68"/>
      <c r="U40" s="68"/>
      <c r="X40" s="309"/>
      <c r="AD40" s="8"/>
      <c r="AE40" s="8"/>
      <c r="AF40" s="8"/>
      <c r="AG40" s="8"/>
      <c r="AH40" s="8"/>
      <c r="AI40" s="63">
        <v>0</v>
      </c>
    </row>
    <row r="41" spans="1:35" ht="13.5" hidden="1" customHeight="1">
      <c r="A41" s="1380" t="s">
        <v>574</v>
      </c>
      <c r="D41" s="55"/>
      <c r="E41" s="311" t="str">
        <f>FHD_NUM_P_5</f>
        <v/>
      </c>
      <c r="F41" s="323" t="str">
        <f>FHD_P_5</f>
        <v/>
      </c>
      <c r="G41" s="41" t="s">
        <v>556</v>
      </c>
      <c r="H41" s="321"/>
      <c r="I41" s="321"/>
      <c r="J41" s="321"/>
      <c r="K41" s="321"/>
      <c r="L41" s="321"/>
      <c r="M41" s="67" t="str">
        <f>FHD_NOTE_P_5</f>
        <v/>
      </c>
      <c r="N41" s="68" t="str">
        <f t="shared" si="0"/>
        <v/>
      </c>
      <c r="AI41" s="11">
        <v>0</v>
      </c>
    </row>
    <row r="42" spans="1:35" ht="13.5" hidden="1" customHeight="1">
      <c r="A42" s="1380"/>
      <c r="D42" s="55"/>
      <c r="E42" s="311" t="str">
        <f>FHD_NUM_P_6</f>
        <v/>
      </c>
      <c r="F42" s="323" t="str">
        <f>FHD_P_6</f>
        <v/>
      </c>
      <c r="G42" s="41" t="s">
        <v>556</v>
      </c>
      <c r="H42" s="321"/>
      <c r="I42" s="321"/>
      <c r="J42" s="321"/>
      <c r="K42" s="321"/>
      <c r="L42" s="321"/>
      <c r="M42" s="67" t="str">
        <f>FHD_NOTE_P_6</f>
        <v/>
      </c>
      <c r="N42" s="68" t="str">
        <f t="shared" si="0"/>
        <v/>
      </c>
      <c r="AI42" s="11">
        <v>0</v>
      </c>
    </row>
    <row r="43" spans="1:35" ht="13.5" hidden="1" customHeight="1">
      <c r="A43" s="1380"/>
      <c r="D43" s="55"/>
      <c r="E43" s="311" t="str">
        <f>FHD_NUM_P_7</f>
        <v/>
      </c>
      <c r="F43" s="323" t="str">
        <f>FHD_P_7</f>
        <v/>
      </c>
      <c r="G43" s="41" t="s">
        <v>556</v>
      </c>
      <c r="H43" s="321"/>
      <c r="I43" s="321"/>
      <c r="J43" s="321"/>
      <c r="K43" s="321"/>
      <c r="L43" s="321"/>
      <c r="M43" s="67" t="str">
        <f>FHD_NOTE_P_7</f>
        <v/>
      </c>
      <c r="N43" s="68" t="str">
        <f t="shared" si="0"/>
        <v/>
      </c>
      <c r="AI43" s="11">
        <v>0</v>
      </c>
    </row>
    <row r="44" spans="1:35" ht="24"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556</v>
      </c>
      <c r="H44" s="321"/>
      <c r="I44" s="321">
        <v>161688.67000000001</v>
      </c>
      <c r="J44" s="321">
        <v>0</v>
      </c>
      <c r="K44" s="321">
        <v>0</v>
      </c>
      <c r="L44" s="321">
        <v>0</v>
      </c>
      <c r="M44" s="67" t="str">
        <f>FHD_NOTE_P_8</f>
        <v/>
      </c>
      <c r="N44" s="68" t="str">
        <f t="shared" si="0"/>
        <v>p</v>
      </c>
      <c r="AI44" s="11">
        <v>11</v>
      </c>
    </row>
    <row r="45" spans="1:35" ht="13.5" customHeight="1">
      <c r="D45" s="55"/>
      <c r="E45" s="311" t="str">
        <f>FHD_NUM_P_9</f>
        <v>2.2.1</v>
      </c>
      <c r="F45" s="338" t="str">
        <f>FHD_P_9</f>
        <v>Средневзвешенная стоимость 1 кВт.ч (с учетом мощности)</v>
      </c>
      <c r="G45" s="41" t="s">
        <v>575</v>
      </c>
      <c r="H45" s="321"/>
      <c r="I45" s="321">
        <f>I44/I46</f>
        <v>7.8935516343774843</v>
      </c>
      <c r="J45" s="321">
        <v>0</v>
      </c>
      <c r="K45" s="321">
        <v>0</v>
      </c>
      <c r="L45" s="321">
        <v>0</v>
      </c>
      <c r="M45" s="67" t="str">
        <f>FHD_NOTE_P_9</f>
        <v/>
      </c>
      <c r="N45" s="68" t="str">
        <f t="shared" si="0"/>
        <v/>
      </c>
      <c r="AI45" s="11">
        <v>11</v>
      </c>
    </row>
    <row r="46" spans="1:35" s="63" customFormat="1" ht="13.5" customHeight="1">
      <c r="A46" s="572"/>
      <c r="C46" s="68"/>
      <c r="D46" s="336"/>
      <c r="E46" s="311" t="str">
        <f>FHD_NUM_P_10</f>
        <v>2.2.2</v>
      </c>
      <c r="F46" s="338" t="str">
        <f>FHD_P_10</f>
        <v>Объём приобретения электрической энергии</v>
      </c>
      <c r="G46" s="41" t="s">
        <v>576</v>
      </c>
      <c r="H46" s="321"/>
      <c r="I46" s="321">
        <v>20483.64</v>
      </c>
      <c r="J46" s="321">
        <v>0</v>
      </c>
      <c r="K46" s="321">
        <v>0</v>
      </c>
      <c r="L46" s="321">
        <v>0</v>
      </c>
      <c r="M46" s="67" t="str">
        <f>FHD_NOTE_P_10</f>
        <v/>
      </c>
      <c r="N46" s="68" t="str">
        <f t="shared" si="0"/>
        <v/>
      </c>
      <c r="O46" s="68"/>
      <c r="P46" s="68"/>
      <c r="U46" s="68"/>
      <c r="X46" s="309"/>
      <c r="AD46" s="8"/>
      <c r="AE46" s="8"/>
      <c r="AF46" s="8"/>
      <c r="AG46" s="8"/>
      <c r="AH46" s="8"/>
      <c r="AI46" s="63">
        <v>11</v>
      </c>
    </row>
    <row r="47" spans="1:35" s="63" customFormat="1" ht="13.5" hidden="1" customHeight="1">
      <c r="A47" s="574" t="s">
        <v>577</v>
      </c>
      <c r="C47" s="68"/>
      <c r="D47" s="337"/>
      <c r="E47" s="311" t="str">
        <f>FHD_NUM_P_11</f>
        <v/>
      </c>
      <c r="F47" s="323" t="str">
        <f>FHD_P_11</f>
        <v/>
      </c>
      <c r="G47" s="41" t="s">
        <v>556</v>
      </c>
      <c r="H47" s="321"/>
      <c r="I47" s="321"/>
      <c r="J47" s="321"/>
      <c r="K47" s="321"/>
      <c r="L47" s="321"/>
      <c r="M47" s="67" t="str">
        <f>FHD_NOTE_P_11</f>
        <v/>
      </c>
      <c r="N47" s="68" t="str">
        <f t="shared" si="0"/>
        <v/>
      </c>
      <c r="O47" s="68"/>
      <c r="P47" s="68"/>
      <c r="U47" s="68"/>
      <c r="X47" s="309"/>
      <c r="AD47" s="8"/>
      <c r="AE47" s="8"/>
      <c r="AF47" s="8"/>
      <c r="AG47" s="8"/>
      <c r="AH47" s="8"/>
      <c r="AI47" s="63">
        <v>0</v>
      </c>
    </row>
    <row r="48" spans="1:35" s="63" customFormat="1" ht="24" customHeight="1">
      <c r="A48" s="574" t="s">
        <v>578</v>
      </c>
      <c r="C48" s="68"/>
      <c r="D48" s="55"/>
      <c r="E48" s="311" t="str">
        <f>FHD_NUM_P_12</f>
        <v>2.3</v>
      </c>
      <c r="F48" s="323" t="str">
        <f>FHD_P_12</f>
        <v>Расходы на химические реагенты, используемые в технологическом процессе</v>
      </c>
      <c r="G48" s="41" t="s">
        <v>556</v>
      </c>
      <c r="H48" s="339"/>
      <c r="I48" s="339">
        <v>6511</v>
      </c>
      <c r="J48" s="339">
        <v>0</v>
      </c>
      <c r="K48" s="339">
        <v>0</v>
      </c>
      <c r="L48" s="339">
        <v>1.7</v>
      </c>
      <c r="M48" s="67" t="str">
        <f>FHD_NOTE_P_12</f>
        <v/>
      </c>
      <c r="N48" s="68" t="str">
        <f t="shared" si="0"/>
        <v>p</v>
      </c>
      <c r="O48" s="68"/>
      <c r="P48" s="68"/>
      <c r="U48" s="68"/>
      <c r="X48" s="309"/>
      <c r="AD48" s="8"/>
      <c r="AE48" s="8"/>
      <c r="AF48" s="8"/>
      <c r="AG48" s="8"/>
      <c r="AH48" s="8"/>
      <c r="AI48" s="63">
        <v>18</v>
      </c>
    </row>
    <row r="49" spans="1:35" s="426" customFormat="1" ht="35.25" customHeight="1">
      <c r="A49" s="573"/>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556</v>
      </c>
      <c r="H49" s="321"/>
      <c r="I49" s="321">
        <f>I50+I51</f>
        <v>197990.40000000002</v>
      </c>
      <c r="J49" s="321">
        <v>0</v>
      </c>
      <c r="K49" s="321">
        <v>0</v>
      </c>
      <c r="L49" s="321">
        <f>L50+L51</f>
        <v>54.37</v>
      </c>
      <c r="M49" s="67" t="str">
        <f>FHD_NOTE_P_13</f>
        <v>Указывается общая сумма расходов на оплату труда и отчислений на социальные нужды основного производственного персонала.</v>
      </c>
      <c r="N49" s="68" t="str">
        <f t="shared" si="0"/>
        <v>p</v>
      </c>
      <c r="O49" s="293"/>
      <c r="P49" s="293"/>
      <c r="U49" s="293"/>
      <c r="X49" s="427"/>
      <c r="AD49" s="30"/>
      <c r="AE49" s="30"/>
      <c r="AF49" s="30"/>
      <c r="AG49" s="30"/>
      <c r="AH49" s="30"/>
      <c r="AI49" s="426">
        <v>11</v>
      </c>
    </row>
    <row r="50" spans="1:35" s="426" customFormat="1" ht="24" customHeight="1">
      <c r="A50" s="573"/>
      <c r="C50" s="293"/>
      <c r="D50" s="383"/>
      <c r="E50" s="311" t="str">
        <f>FHD_NUM_P_14</f>
        <v>2.4.1</v>
      </c>
      <c r="F50" s="338" t="str">
        <f>FHD_P_14</f>
        <v>Расходы на оплату труда основного производственного персонала</v>
      </c>
      <c r="G50" s="41" t="s">
        <v>556</v>
      </c>
      <c r="H50" s="321"/>
      <c r="I50" s="321">
        <v>151800.45000000001</v>
      </c>
      <c r="J50" s="321">
        <v>0</v>
      </c>
      <c r="K50" s="321">
        <v>0</v>
      </c>
      <c r="L50" s="321">
        <v>41.69</v>
      </c>
      <c r="M50" s="67" t="str">
        <f>FHD_NOTE_P_14</f>
        <v/>
      </c>
      <c r="N50" s="68" t="str">
        <f t="shared" si="0"/>
        <v/>
      </c>
      <c r="O50" s="293"/>
      <c r="P50" s="293"/>
      <c r="U50" s="293"/>
      <c r="X50" s="427"/>
      <c r="AD50" s="30"/>
      <c r="AE50" s="30"/>
      <c r="AF50" s="30"/>
      <c r="AG50" s="30"/>
      <c r="AH50" s="30"/>
      <c r="AI50" s="426">
        <v>11</v>
      </c>
    </row>
    <row r="51" spans="1:35" s="426" customFormat="1" ht="35.25" customHeight="1">
      <c r="A51" s="573"/>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556</v>
      </c>
      <c r="H51" s="321"/>
      <c r="I51" s="321">
        <v>46189.95</v>
      </c>
      <c r="J51" s="321">
        <v>0</v>
      </c>
      <c r="K51" s="321">
        <v>0</v>
      </c>
      <c r="L51" s="321">
        <v>12.68</v>
      </c>
      <c r="M51" s="67" t="str">
        <f>FHD_NOTE_P_15</f>
        <v/>
      </c>
      <c r="N51" s="68" t="str">
        <f t="shared" si="0"/>
        <v/>
      </c>
      <c r="O51" s="293"/>
      <c r="P51" s="293"/>
      <c r="U51" s="293"/>
      <c r="X51" s="427"/>
      <c r="AD51" s="30"/>
      <c r="AE51" s="30"/>
      <c r="AF51" s="30"/>
      <c r="AG51" s="30"/>
      <c r="AH51" s="30"/>
      <c r="AI51" s="426">
        <v>11</v>
      </c>
    </row>
    <row r="52" spans="1:35" s="63" customFormat="1" ht="11.45" customHeight="1">
      <c r="A52" s="572"/>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556</v>
      </c>
      <c r="H52" s="321"/>
      <c r="I52" s="321">
        <v>0</v>
      </c>
      <c r="J52" s="321">
        <v>0</v>
      </c>
      <c r="K52" s="321">
        <v>0</v>
      </c>
      <c r="L52" s="321">
        <v>0</v>
      </c>
      <c r="M52" s="67" t="str">
        <f>FHD_NOTE_P_16</f>
        <v>Указывается общая сумма расходов на оплату труда и отчислений на социальные нужды административно-управленческого персонала.</v>
      </c>
      <c r="N52" s="68" t="str">
        <f t="shared" si="0"/>
        <v>p</v>
      </c>
      <c r="O52" s="68"/>
      <c r="P52" s="68"/>
      <c r="U52" s="68"/>
      <c r="X52" s="309"/>
      <c r="AD52" s="8"/>
      <c r="AE52" s="8"/>
      <c r="AF52" s="8"/>
      <c r="AG52" s="8"/>
      <c r="AH52" s="8"/>
      <c r="AI52" s="63">
        <v>11</v>
      </c>
    </row>
    <row r="53" spans="1:35" s="63" customFormat="1" ht="11.45" customHeight="1">
      <c r="A53" s="572"/>
      <c r="C53" s="68"/>
      <c r="D53" s="55"/>
      <c r="E53" s="311" t="str">
        <f>FHD_NUM_P_17</f>
        <v>2.5.1</v>
      </c>
      <c r="F53" s="338" t="str">
        <f>FHD_P_17</f>
        <v>Расходы на оплату труда административно-управленческого персонала</v>
      </c>
      <c r="G53" s="41" t="s">
        <v>556</v>
      </c>
      <c r="H53" s="321"/>
      <c r="I53" s="321">
        <v>0</v>
      </c>
      <c r="J53" s="321">
        <v>0</v>
      </c>
      <c r="K53" s="321">
        <v>0</v>
      </c>
      <c r="L53" s="321">
        <v>0</v>
      </c>
      <c r="M53" s="67" t="str">
        <f>FHD_NOTE_P_17</f>
        <v/>
      </c>
      <c r="N53" s="68" t="str">
        <f t="shared" si="0"/>
        <v/>
      </c>
      <c r="O53" s="68"/>
      <c r="P53" s="68"/>
      <c r="U53" s="68"/>
      <c r="X53" s="309"/>
      <c r="AD53" s="8"/>
      <c r="AE53" s="8"/>
      <c r="AF53" s="8"/>
      <c r="AG53" s="8"/>
      <c r="AH53" s="8"/>
      <c r="AI53" s="63">
        <v>11</v>
      </c>
    </row>
    <row r="54" spans="1:35" s="63" customFormat="1" ht="11.45" customHeight="1">
      <c r="A54" s="572"/>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556</v>
      </c>
      <c r="H54" s="321"/>
      <c r="I54" s="321">
        <v>0</v>
      </c>
      <c r="J54" s="321">
        <v>0</v>
      </c>
      <c r="K54" s="321">
        <v>0</v>
      </c>
      <c r="L54" s="321">
        <v>0</v>
      </c>
      <c r="M54" s="67" t="str">
        <f>FHD_NOTE_P_18</f>
        <v/>
      </c>
      <c r="N54" s="68" t="str">
        <f t="shared" si="0"/>
        <v/>
      </c>
      <c r="O54" s="68"/>
      <c r="P54" s="68"/>
      <c r="U54" s="68"/>
      <c r="X54" s="309"/>
      <c r="AD54" s="8"/>
      <c r="AE54" s="8"/>
      <c r="AF54" s="8"/>
      <c r="AG54" s="8"/>
      <c r="AH54" s="8"/>
      <c r="AI54" s="63">
        <v>11</v>
      </c>
    </row>
    <row r="55" spans="1:35" s="63" customFormat="1" ht="24" customHeight="1">
      <c r="A55" s="572"/>
      <c r="C55" s="68"/>
      <c r="D55" s="337"/>
      <c r="E55" s="311" t="str">
        <f>FHD_NUM_P_19</f>
        <v>2.6</v>
      </c>
      <c r="F55" s="323" t="str">
        <f>FHD_P_19</f>
        <v>Расходы на амортизацию основных средств и нематериальных активов</v>
      </c>
      <c r="G55" s="41" t="s">
        <v>556</v>
      </c>
      <c r="H55" s="321"/>
      <c r="I55" s="321">
        <v>195582.82</v>
      </c>
      <c r="J55" s="321">
        <v>0.67</v>
      </c>
      <c r="K55" s="321">
        <v>290.11</v>
      </c>
      <c r="L55" s="321">
        <v>1449.76</v>
      </c>
      <c r="M55" s="67" t="str">
        <f>FHD_NOTE_P_19</f>
        <v/>
      </c>
      <c r="N55" s="68" t="str">
        <f t="shared" si="0"/>
        <v>p</v>
      </c>
      <c r="O55" s="68"/>
      <c r="P55" s="68"/>
      <c r="U55" s="68"/>
      <c r="X55" s="309"/>
      <c r="AD55" s="8"/>
      <c r="AE55" s="8"/>
      <c r="AF55" s="8"/>
      <c r="AG55" s="8"/>
      <c r="AH55" s="8"/>
      <c r="AI55" s="63">
        <v>11</v>
      </c>
    </row>
    <row r="56" spans="1:35" s="63" customFormat="1" ht="13.5" customHeight="1">
      <c r="A56" s="572"/>
      <c r="C56" s="68"/>
      <c r="D56" s="337"/>
      <c r="E56" s="311" t="str">
        <f>FHD_NUM_P_20</f>
        <v>2.6.1</v>
      </c>
      <c r="F56" s="338" t="str">
        <f>FHD_P_20</f>
        <v>Расходы на амортизацию основных средств</v>
      </c>
      <c r="G56" s="41" t="s">
        <v>556</v>
      </c>
      <c r="H56" s="321"/>
      <c r="I56" s="321">
        <v>195582.82</v>
      </c>
      <c r="J56" s="321">
        <v>0.67</v>
      </c>
      <c r="K56" s="321">
        <v>290.11</v>
      </c>
      <c r="L56" s="321">
        <v>1449.76</v>
      </c>
      <c r="M56" s="67" t="str">
        <f>FHD_NOTE_P_20</f>
        <v/>
      </c>
      <c r="N56" s="68" t="str">
        <f t="shared" si="0"/>
        <v/>
      </c>
      <c r="O56" s="68"/>
      <c r="P56" s="68"/>
      <c r="U56" s="68"/>
      <c r="X56" s="309"/>
      <c r="AD56" s="8"/>
      <c r="AE56" s="8"/>
      <c r="AF56" s="8"/>
      <c r="AG56" s="8"/>
      <c r="AH56" s="8"/>
      <c r="AI56" s="63">
        <v>11</v>
      </c>
    </row>
    <row r="57" spans="1:35" s="63" customFormat="1" ht="11.45" customHeight="1">
      <c r="A57" s="572"/>
      <c r="C57" s="68"/>
      <c r="D57" s="337"/>
      <c r="E57" s="311" t="str">
        <f>FHD_NUM_P_21</f>
        <v>2.6.2</v>
      </c>
      <c r="F57" s="338" t="str">
        <f>FHD_P_21</f>
        <v>Расходы на амортизацию нематериальных активов</v>
      </c>
      <c r="G57" s="41" t="s">
        <v>556</v>
      </c>
      <c r="H57" s="321"/>
      <c r="I57" s="321">
        <v>0</v>
      </c>
      <c r="J57" s="321">
        <v>0</v>
      </c>
      <c r="K57" s="321">
        <v>0</v>
      </c>
      <c r="L57" s="321">
        <v>0</v>
      </c>
      <c r="M57" s="67" t="str">
        <f>FHD_NOTE_P_21</f>
        <v/>
      </c>
      <c r="N57" s="68" t="str">
        <f t="shared" si="0"/>
        <v/>
      </c>
      <c r="O57" s="68"/>
      <c r="P57" s="68"/>
      <c r="U57" s="68"/>
      <c r="X57" s="309"/>
      <c r="AD57" s="8"/>
      <c r="AE57" s="8"/>
      <c r="AF57" s="8"/>
      <c r="AG57" s="8"/>
      <c r="AH57" s="8"/>
      <c r="AI57" s="63">
        <v>11</v>
      </c>
    </row>
    <row r="58" spans="1:35" s="63" customFormat="1" ht="35.25" customHeight="1">
      <c r="A58" s="572"/>
      <c r="C58" s="68"/>
      <c r="D58" s="55"/>
      <c r="E58" s="311" t="str">
        <f>FHD_NUM_P_22</f>
        <v>2.7</v>
      </c>
      <c r="F58" s="323" t="str">
        <f>FHD_P_22</f>
        <v>Расходы на аренду имущества, используемого для осуществления регулируемых видов деятельности в сфере холодного водоснабжения</v>
      </c>
      <c r="G58" s="41" t="s">
        <v>556</v>
      </c>
      <c r="H58" s="321"/>
      <c r="I58" s="321">
        <v>2521.9499999999998</v>
      </c>
      <c r="J58" s="321">
        <v>0.11</v>
      </c>
      <c r="K58" s="321">
        <v>11.27</v>
      </c>
      <c r="L58" s="321">
        <v>0</v>
      </c>
      <c r="M58" s="67" t="str">
        <f>FHD_NOTE_P_22</f>
        <v/>
      </c>
      <c r="N58" s="68" t="str">
        <f t="shared" si="0"/>
        <v>p</v>
      </c>
      <c r="O58" s="68"/>
      <c r="P58" s="68"/>
      <c r="U58" s="68"/>
      <c r="X58" s="309"/>
      <c r="AD58" s="8"/>
      <c r="AE58" s="8"/>
      <c r="AF58" s="8"/>
      <c r="AG58" s="8"/>
      <c r="AH58" s="8"/>
      <c r="AI58" s="63">
        <v>11</v>
      </c>
    </row>
    <row r="59" spans="1:35" s="63" customFormat="1" ht="13.5" customHeight="1">
      <c r="A59" s="572"/>
      <c r="C59" s="68"/>
      <c r="D59" s="337"/>
      <c r="E59" s="311" t="str">
        <f>FHD_NUM_P_23</f>
        <v>2.8</v>
      </c>
      <c r="F59" s="323" t="str">
        <f>FHD_P_23</f>
        <v>Общепроизводственные расходы, в том числе:</v>
      </c>
      <c r="G59" s="41" t="s">
        <v>556</v>
      </c>
      <c r="H59" s="321"/>
      <c r="I59" s="321">
        <f>8448.78+116323.77+68052.26</f>
        <v>192824.81</v>
      </c>
      <c r="J59" s="321">
        <f>0.17+3.54+0.62</f>
        <v>4.33</v>
      </c>
      <c r="K59" s="321">
        <f>19.58+234.51+65.49</f>
        <v>319.58</v>
      </c>
      <c r="L59" s="321">
        <f>52.95+294.45+525.17</f>
        <v>872.56999999999994</v>
      </c>
      <c r="M59" s="67" t="str">
        <f>FHD_NOTE_P_23</f>
        <v>Указывается общая сумма общепроизводственных расходов.</v>
      </c>
      <c r="N59" s="68" t="str">
        <f t="shared" si="0"/>
        <v>p</v>
      </c>
      <c r="O59" s="68"/>
      <c r="P59" s="68"/>
      <c r="U59" s="68"/>
      <c r="X59" s="309"/>
      <c r="AD59" s="8"/>
      <c r="AE59" s="8"/>
      <c r="AF59" s="8"/>
      <c r="AG59" s="8"/>
      <c r="AH59" s="8"/>
      <c r="AI59" s="63">
        <v>11</v>
      </c>
    </row>
    <row r="60" spans="1:35" s="63" customFormat="1" ht="11.45" customHeight="1">
      <c r="A60" s="572"/>
      <c r="C60" s="68"/>
      <c r="D60" s="337"/>
      <c r="E60" s="311" t="str">
        <f>FHD_NUM_P_24</f>
        <v>2.8.1</v>
      </c>
      <c r="F60" s="338" t="str">
        <f>FHD_P_24</f>
        <v>Расходы на текущий ремонт</v>
      </c>
      <c r="G60" s="41" t="s">
        <v>556</v>
      </c>
      <c r="H60" s="321"/>
      <c r="I60" s="321">
        <v>0</v>
      </c>
      <c r="J60" s="321">
        <v>0</v>
      </c>
      <c r="K60" s="321">
        <v>0</v>
      </c>
      <c r="L60" s="321">
        <v>0</v>
      </c>
      <c r="M60" s="67" t="str">
        <f>FHD_NOTE_P_24</f>
        <v>Указываются расходы на текущий ремонт, отнесенные к общепроизводственным расходам.</v>
      </c>
      <c r="N60" s="68" t="str">
        <f t="shared" si="0"/>
        <v/>
      </c>
      <c r="O60" s="68"/>
      <c r="P60" s="68"/>
      <c r="U60" s="68"/>
      <c r="X60" s="309"/>
      <c r="AD60" s="8"/>
      <c r="AE60" s="8"/>
      <c r="AF60" s="8"/>
      <c r="AG60" s="8"/>
      <c r="AH60" s="8"/>
      <c r="AI60" s="63">
        <v>11</v>
      </c>
    </row>
    <row r="61" spans="1:35" s="63" customFormat="1" ht="11.45" customHeight="1">
      <c r="A61" s="572"/>
      <c r="C61" s="68"/>
      <c r="D61" s="337"/>
      <c r="E61" s="311" t="str">
        <f>FHD_NUM_P_25</f>
        <v>2.8.2</v>
      </c>
      <c r="F61" s="338" t="str">
        <f>FHD_P_25</f>
        <v>Расходы на капитальный ремонт</v>
      </c>
      <c r="G61" s="41" t="s">
        <v>556</v>
      </c>
      <c r="H61" s="321"/>
      <c r="I61" s="321">
        <v>0</v>
      </c>
      <c r="J61" s="321">
        <v>0</v>
      </c>
      <c r="K61" s="321">
        <v>0</v>
      </c>
      <c r="L61" s="321">
        <v>0</v>
      </c>
      <c r="M61" s="67" t="str">
        <f>FHD_NOTE_P_25</f>
        <v>Указываются расходы на капитальный ремонт, отнесенные к общепроизводственным расходам.</v>
      </c>
      <c r="N61" s="68" t="str">
        <f t="shared" si="0"/>
        <v/>
      </c>
      <c r="O61" s="68"/>
      <c r="P61" s="68"/>
      <c r="U61" s="68"/>
      <c r="X61" s="309"/>
      <c r="AD61" s="8"/>
      <c r="AE61" s="8"/>
      <c r="AF61" s="8"/>
      <c r="AG61" s="8"/>
      <c r="AH61" s="8"/>
      <c r="AI61" s="63">
        <v>11</v>
      </c>
    </row>
    <row r="62" spans="1:35" s="63" customFormat="1" ht="11.45" customHeight="1">
      <c r="A62" s="572"/>
      <c r="C62" s="68"/>
      <c r="D62" s="55"/>
      <c r="E62" s="311" t="str">
        <f>FHD_NUM_P_26</f>
        <v>2.9</v>
      </c>
      <c r="F62" s="323" t="str">
        <f>FHD_P_26</f>
        <v>Общехозяйственные расходы, в том числе:</v>
      </c>
      <c r="G62" s="41" t="s">
        <v>556</v>
      </c>
      <c r="H62" s="321"/>
      <c r="I62" s="321">
        <v>0</v>
      </c>
      <c r="J62" s="321">
        <v>0</v>
      </c>
      <c r="K62" s="321">
        <v>0</v>
      </c>
      <c r="L62" s="321">
        <v>0</v>
      </c>
      <c r="M62" s="67" t="str">
        <f>FHD_NOTE_P_26</f>
        <v>Указывается общая сумма общехозяйственных расходов.</v>
      </c>
      <c r="N62" s="68" t="str">
        <f t="shared" si="0"/>
        <v>p</v>
      </c>
      <c r="O62" s="68"/>
      <c r="P62" s="68"/>
      <c r="U62" s="68"/>
      <c r="X62" s="309"/>
      <c r="AD62" s="8"/>
      <c r="AE62" s="8"/>
      <c r="AF62" s="8"/>
      <c r="AG62" s="8"/>
      <c r="AH62" s="8"/>
      <c r="AI62" s="63">
        <v>11</v>
      </c>
    </row>
    <row r="63" spans="1:35" s="63" customFormat="1" ht="11.45" customHeight="1">
      <c r="A63" s="572"/>
      <c r="C63" s="68"/>
      <c r="D63" s="55"/>
      <c r="E63" s="311" t="str">
        <f>FHD_NUM_P_27</f>
        <v>2.9.1</v>
      </c>
      <c r="F63" s="338" t="str">
        <f>FHD_P_27</f>
        <v>Расходы на текущий ремонт</v>
      </c>
      <c r="G63" s="41" t="s">
        <v>556</v>
      </c>
      <c r="H63" s="321"/>
      <c r="I63" s="321">
        <v>0</v>
      </c>
      <c r="J63" s="321">
        <v>0</v>
      </c>
      <c r="K63" s="321">
        <v>0</v>
      </c>
      <c r="L63" s="321">
        <v>0</v>
      </c>
      <c r="M63" s="67" t="str">
        <f>FHD_NOTE_P_27</f>
        <v>Указываются расходы на текущий ремонт, отнесенные к общехозяйственным расходам.</v>
      </c>
      <c r="N63" s="68" t="str">
        <f t="shared" si="0"/>
        <v/>
      </c>
      <c r="O63" s="68"/>
      <c r="P63" s="68"/>
      <c r="U63" s="68"/>
      <c r="X63" s="309"/>
      <c r="AD63" s="8"/>
      <c r="AE63" s="8"/>
      <c r="AF63" s="8"/>
      <c r="AG63" s="8"/>
      <c r="AH63" s="8"/>
      <c r="AI63" s="63">
        <v>11</v>
      </c>
    </row>
    <row r="64" spans="1:35" s="63" customFormat="1" ht="11.45" customHeight="1">
      <c r="A64" s="572"/>
      <c r="C64" s="68"/>
      <c r="D64" s="55"/>
      <c r="E64" s="311" t="str">
        <f>FHD_NUM_P_28</f>
        <v>2.9.2</v>
      </c>
      <c r="F64" s="338" t="str">
        <f>FHD_P_28</f>
        <v>Расходы на капитальный ремонт</v>
      </c>
      <c r="G64" s="41" t="s">
        <v>556</v>
      </c>
      <c r="H64" s="321"/>
      <c r="I64" s="321">
        <v>0</v>
      </c>
      <c r="J64" s="321">
        <v>0</v>
      </c>
      <c r="K64" s="321">
        <v>0</v>
      </c>
      <c r="L64" s="321">
        <v>0</v>
      </c>
      <c r="M64" s="67" t="str">
        <f>FHD_NOTE_P_28</f>
        <v>Указываются расходы на капитальный ремонт, отнесенные к общехозяйственным расходам.</v>
      </c>
      <c r="N64" s="68" t="str">
        <f t="shared" si="0"/>
        <v/>
      </c>
      <c r="O64" s="68"/>
      <c r="P64" s="68"/>
      <c r="U64" s="68"/>
      <c r="X64" s="309"/>
      <c r="AD64" s="8"/>
      <c r="AE64" s="8"/>
      <c r="AF64" s="8"/>
      <c r="AG64" s="8"/>
      <c r="AH64" s="8"/>
      <c r="AI64" s="63">
        <v>11</v>
      </c>
    </row>
    <row r="65" spans="1:35" s="63" customFormat="1" ht="24" customHeight="1">
      <c r="A65" s="572"/>
      <c r="C65" s="68"/>
      <c r="D65" s="55"/>
      <c r="E65" s="311" t="str">
        <f>FHD_NUM_P_29</f>
        <v>2.10</v>
      </c>
      <c r="F65" s="323" t="str">
        <f>FHD_P_29</f>
        <v>Расходы на капитальный и текущий ремонт основных средств</v>
      </c>
      <c r="G65" s="41" t="s">
        <v>556</v>
      </c>
      <c r="H65" s="321"/>
      <c r="I65" s="321">
        <v>163314.23000000001</v>
      </c>
      <c r="J65" s="321">
        <v>436.66</v>
      </c>
      <c r="K65" s="321">
        <v>635.09</v>
      </c>
      <c r="L65" s="321">
        <v>2924.85</v>
      </c>
      <c r="M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68" t="str">
        <f t="shared" si="0"/>
        <v>p</v>
      </c>
      <c r="O65" s="68"/>
      <c r="P65" s="68"/>
      <c r="U65" s="68"/>
      <c r="X65" s="309"/>
      <c r="AD65" s="8"/>
      <c r="AE65" s="8"/>
      <c r="AF65" s="8"/>
      <c r="AG65" s="8"/>
      <c r="AH65" s="8"/>
      <c r="AI65" s="63">
        <v>11</v>
      </c>
    </row>
    <row r="66" spans="1:35" s="63" customFormat="1" ht="45.75" customHeight="1">
      <c r="A66" s="572"/>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312</v>
      </c>
      <c r="H66" s="113" t="s">
        <v>579</v>
      </c>
      <c r="I66" s="113" t="s">
        <v>579</v>
      </c>
      <c r="J66" s="113" t="s">
        <v>579</v>
      </c>
      <c r="K66" s="113" t="s">
        <v>579</v>
      </c>
      <c r="L66" s="113" t="s">
        <v>579</v>
      </c>
      <c r="M66" s="67" t="str">
        <f>FHD_NOTE_P_30</f>
        <v/>
      </c>
      <c r="N66" s="68" t="str">
        <f t="shared" si="0"/>
        <v/>
      </c>
      <c r="O66" s="68">
        <f>IFERROR(MATCH("есть",B_FHD_FLAG_INDEX_1,0),0)</f>
        <v>0</v>
      </c>
      <c r="P66" s="68"/>
      <c r="U66" s="68"/>
      <c r="X66" s="309"/>
      <c r="AD66" s="8"/>
      <c r="AE66" s="8"/>
      <c r="AF66" s="8"/>
      <c r="AG66" s="8"/>
      <c r="AH66" s="8"/>
      <c r="AI66" s="63">
        <v>11</v>
      </c>
    </row>
    <row r="67" spans="1:35" s="63" customFormat="1" ht="23.25" customHeight="1">
      <c r="A67" s="1380" t="s">
        <v>580</v>
      </c>
      <c r="C67" s="68"/>
      <c r="D67" s="55"/>
      <c r="E67" s="311" t="str">
        <f>FHD_NUM_P_31</f>
        <v>2.11</v>
      </c>
      <c r="F67" s="32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1" t="s">
        <v>556</v>
      </c>
      <c r="H67" s="321"/>
      <c r="I67" s="321">
        <v>0</v>
      </c>
      <c r="J67" s="321">
        <v>0</v>
      </c>
      <c r="K67" s="321">
        <v>0</v>
      </c>
      <c r="L67" s="321">
        <v>0</v>
      </c>
      <c r="M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7" s="68" t="str">
        <f t="shared" si="0"/>
        <v>p</v>
      </c>
      <c r="O67" s="68"/>
      <c r="P67" s="68"/>
      <c r="U67" s="68"/>
      <c r="X67" s="309"/>
      <c r="AD67" s="8"/>
      <c r="AE67" s="8"/>
      <c r="AF67" s="8"/>
      <c r="AG67" s="8"/>
      <c r="AH67" s="8"/>
      <c r="AI67" s="63">
        <v>22</v>
      </c>
    </row>
    <row r="68" spans="1:35" s="63" customFormat="1" ht="47.25" customHeight="1">
      <c r="A68" s="1380"/>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312</v>
      </c>
      <c r="H68" s="113" t="s">
        <v>579</v>
      </c>
      <c r="I68" s="113" t="s">
        <v>579</v>
      </c>
      <c r="J68" s="113" t="s">
        <v>579</v>
      </c>
      <c r="K68" s="113" t="s">
        <v>579</v>
      </c>
      <c r="L68" s="113" t="s">
        <v>579</v>
      </c>
      <c r="M68" s="67" t="str">
        <f>FHD_NOTE_P_32</f>
        <v/>
      </c>
      <c r="N68" s="68" t="str">
        <f t="shared" si="0"/>
        <v/>
      </c>
      <c r="O68" s="68">
        <f>IFERROR(MATCH("есть",B_FHD_FLAG_INDEX_2,0),0)</f>
        <v>0</v>
      </c>
      <c r="P68" s="68"/>
      <c r="U68" s="68"/>
      <c r="X68" s="309"/>
      <c r="AD68" s="8"/>
      <c r="AE68" s="8"/>
      <c r="AF68" s="8"/>
      <c r="AG68" s="8"/>
      <c r="AH68" s="8"/>
      <c r="AI68" s="63">
        <v>45</v>
      </c>
    </row>
    <row r="69" spans="1:35" s="63" customFormat="1" ht="89.25" customHeight="1">
      <c r="A69" s="572"/>
      <c r="C69" s="68"/>
      <c r="D69" s="55"/>
      <c r="E69" s="311" t="str">
        <f>FHD_NUM_P_33</f>
        <v>2.12</v>
      </c>
      <c r="F69" s="32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40" t="s">
        <v>556</v>
      </c>
      <c r="H69" s="341">
        <f>SUM(H70:H74)</f>
        <v>0</v>
      </c>
      <c r="I69" s="341">
        <f>SUM(I70:I74)</f>
        <v>195334</v>
      </c>
      <c r="J69" s="341">
        <f>SUM(J70:J74)</f>
        <v>79.910000000000011</v>
      </c>
      <c r="K69" s="341">
        <f>SUM(K70:K74)</f>
        <v>3.09</v>
      </c>
      <c r="L69" s="341">
        <f>SUM(L70:L74)</f>
        <v>21.48</v>
      </c>
      <c r="M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N69" s="68" t="str">
        <f t="shared" si="0"/>
        <v>p</v>
      </c>
      <c r="O69" s="68"/>
      <c r="P69" s="68"/>
      <c r="U69" s="68"/>
      <c r="X69" s="309"/>
      <c r="AD69" s="8"/>
      <c r="AE69" s="8"/>
      <c r="AF69" s="8"/>
      <c r="AG69" s="8"/>
      <c r="AH69" s="8"/>
      <c r="AI69" s="63">
        <v>11</v>
      </c>
    </row>
    <row r="70" spans="1:35" s="68" customFormat="1" ht="1.1499999999999999" customHeight="1">
      <c r="A70" s="313"/>
      <c r="D70" s="313"/>
      <c r="E70" s="316" t="str">
        <f>E69&amp;".0"</f>
        <v>2.12.0</v>
      </c>
      <c r="F70" s="576"/>
      <c r="G70" s="316"/>
      <c r="H70" s="577"/>
      <c r="I70" s="577"/>
      <c r="J70" s="577"/>
      <c r="K70" s="577"/>
      <c r="L70" s="577"/>
      <c r="M70" s="578"/>
      <c r="N70" s="68" t="str">
        <f t="shared" si="0"/>
        <v/>
      </c>
      <c r="AI70" s="68">
        <v>1</v>
      </c>
    </row>
    <row r="71" spans="1:35" s="8" customFormat="1" ht="22.5" customHeight="1">
      <c r="A71" s="572"/>
      <c r="B71" s="63"/>
      <c r="C71" s="68"/>
      <c r="D71" s="87" t="s">
        <v>122</v>
      </c>
      <c r="E71" s="41" t="str">
        <f>E69&amp;".1"</f>
        <v>2.12.1</v>
      </c>
      <c r="F71" s="305" t="s">
        <v>581</v>
      </c>
      <c r="G71" s="41" t="s">
        <v>556</v>
      </c>
      <c r="H71" s="306"/>
      <c r="I71" s="306">
        <v>64810.080000000002</v>
      </c>
      <c r="J71" s="306">
        <v>0.04</v>
      </c>
      <c r="K71" s="306">
        <v>3.09</v>
      </c>
      <c r="L71" s="306">
        <v>21.48</v>
      </c>
      <c r="M71" s="307" t="s">
        <v>559</v>
      </c>
      <c r="N71" s="308"/>
      <c r="O71" s="68"/>
      <c r="P71" s="68"/>
      <c r="Q71" s="63"/>
      <c r="R71" s="63"/>
      <c r="S71" s="63"/>
      <c r="T71" s="63"/>
      <c r="U71" s="68"/>
      <c r="V71" s="63"/>
      <c r="W71" s="63"/>
      <c r="X71" s="309"/>
      <c r="Y71" s="63"/>
      <c r="Z71" s="63"/>
      <c r="AA71" s="63"/>
      <c r="AB71" s="63"/>
      <c r="AC71" s="63"/>
      <c r="AI71" s="63">
        <v>0</v>
      </c>
    </row>
    <row r="72" spans="1:35" s="8" customFormat="1" ht="22.5" customHeight="1">
      <c r="A72" s="572"/>
      <c r="B72" s="63"/>
      <c r="C72" s="68"/>
      <c r="D72" s="87" t="s">
        <v>122</v>
      </c>
      <c r="E72" s="41" t="str">
        <f>E69&amp;".2"</f>
        <v>2.12.2</v>
      </c>
      <c r="F72" s="305" t="s">
        <v>582</v>
      </c>
      <c r="G72" s="41" t="s">
        <v>556</v>
      </c>
      <c r="H72" s="306"/>
      <c r="I72" s="306">
        <v>119037.05</v>
      </c>
      <c r="J72" s="306">
        <v>79.86</v>
      </c>
      <c r="K72" s="306">
        <v>0</v>
      </c>
      <c r="L72" s="306">
        <v>0</v>
      </c>
      <c r="M72" s="307" t="s">
        <v>559</v>
      </c>
      <c r="N72" s="308"/>
      <c r="O72" s="68"/>
      <c r="P72" s="68"/>
      <c r="Q72" s="63"/>
      <c r="R72" s="63"/>
      <c r="S72" s="63"/>
      <c r="T72" s="63"/>
      <c r="U72" s="68"/>
      <c r="V72" s="63"/>
      <c r="W72" s="63"/>
      <c r="X72" s="309"/>
      <c r="Y72" s="63"/>
      <c r="Z72" s="63"/>
      <c r="AA72" s="63"/>
      <c r="AB72" s="63"/>
      <c r="AC72" s="63"/>
      <c r="AI72" s="63">
        <v>0</v>
      </c>
    </row>
    <row r="73" spans="1:35" s="8" customFormat="1" ht="30.75" customHeight="1">
      <c r="A73" s="572"/>
      <c r="B73" s="63"/>
      <c r="C73" s="68"/>
      <c r="D73" s="87" t="s">
        <v>122</v>
      </c>
      <c r="E73" s="41" t="str">
        <f>E69&amp;".3"</f>
        <v>2.12.3</v>
      </c>
      <c r="F73" s="305" t="s">
        <v>583</v>
      </c>
      <c r="G73" s="41" t="s">
        <v>556</v>
      </c>
      <c r="H73" s="306"/>
      <c r="I73" s="306">
        <f>11447.45+39.42</f>
        <v>11486.87</v>
      </c>
      <c r="J73" s="306">
        <v>0.01</v>
      </c>
      <c r="K73" s="306">
        <v>0</v>
      </c>
      <c r="L73" s="306">
        <v>0</v>
      </c>
      <c r="M73" s="307" t="s">
        <v>559</v>
      </c>
      <c r="N73" s="308"/>
      <c r="O73" s="68"/>
      <c r="P73" s="68"/>
      <c r="Q73" s="63"/>
      <c r="R73" s="63"/>
      <c r="S73" s="63"/>
      <c r="T73" s="63"/>
      <c r="U73" s="68"/>
      <c r="V73" s="63"/>
      <c r="W73" s="63"/>
      <c r="X73" s="309"/>
      <c r="Y73" s="63"/>
      <c r="Z73" s="63"/>
      <c r="AA73" s="63"/>
      <c r="AB73" s="63"/>
      <c r="AC73" s="63"/>
      <c r="AI73" s="63">
        <v>0</v>
      </c>
    </row>
    <row r="74" spans="1:35" s="63" customFormat="1" ht="14.65" customHeight="1">
      <c r="A74" s="572"/>
      <c r="C74" s="68"/>
      <c r="D74" s="77"/>
      <c r="E74" s="333"/>
      <c r="F74" s="111" t="s">
        <v>584</v>
      </c>
      <c r="G74" s="334"/>
      <c r="H74" s="335"/>
      <c r="I74" s="335"/>
      <c r="J74" s="335"/>
      <c r="K74" s="335"/>
      <c r="L74" s="335"/>
      <c r="M74" s="172"/>
      <c r="N74" s="68"/>
      <c r="O74" s="68"/>
      <c r="P74" s="68"/>
      <c r="U74" s="68"/>
      <c r="X74" s="309"/>
      <c r="AD74" s="8"/>
      <c r="AE74" s="8"/>
      <c r="AF74" s="8"/>
      <c r="AG74" s="8"/>
      <c r="AH74" s="8"/>
      <c r="AI74" s="63">
        <v>14</v>
      </c>
    </row>
    <row r="75" spans="1:35" s="63" customFormat="1" ht="18.75" hidden="1" customHeight="1">
      <c r="A75" s="574" t="s">
        <v>585</v>
      </c>
      <c r="C75" s="68"/>
      <c r="D75" s="55"/>
      <c r="E75" s="311" t="str">
        <f>FHD_NUM_P_34</f>
        <v/>
      </c>
      <c r="F75" s="153" t="str">
        <f>FHD_P_34</f>
        <v/>
      </c>
      <c r="G75" s="41" t="s">
        <v>556</v>
      </c>
      <c r="H75" s="321"/>
      <c r="I75" s="321"/>
      <c r="J75" s="321"/>
      <c r="K75" s="321"/>
      <c r="L75" s="321"/>
      <c r="M75" s="67" t="str">
        <f>FHD_NOTE_P_34</f>
        <v/>
      </c>
      <c r="N75" s="308"/>
      <c r="O75" s="68"/>
      <c r="P75" s="68"/>
      <c r="U75" s="68"/>
      <c r="X75" s="309"/>
      <c r="AD75" s="8"/>
      <c r="AE75" s="8"/>
      <c r="AF75" s="8"/>
      <c r="AG75" s="8"/>
      <c r="AH75" s="8"/>
      <c r="AI75" s="63">
        <v>0</v>
      </c>
    </row>
    <row r="76" spans="1:35" s="63" customFormat="1" ht="24" customHeight="1">
      <c r="A76" s="572"/>
      <c r="C76" s="68"/>
      <c r="D76" s="337"/>
      <c r="E76" s="311" t="str">
        <f>FHD_NUM_P_35</f>
        <v>3</v>
      </c>
      <c r="F76" s="153" t="str">
        <f>FHD_P_35</f>
        <v>Чистая прибыль, полученная от регулируемого вида деятельности в сфере холодного водоснабжения, в том числе:</v>
      </c>
      <c r="G76" s="41" t="s">
        <v>556</v>
      </c>
      <c r="H76" s="321"/>
      <c r="I76" s="321">
        <v>-132959.20000000001</v>
      </c>
      <c r="J76" s="321">
        <v>-475.16</v>
      </c>
      <c r="K76" s="321">
        <v>2731.56</v>
      </c>
      <c r="L76" s="321">
        <v>-1105.25</v>
      </c>
      <c r="M76" s="67" t="str">
        <f>FHD_NOTE_P_35</f>
        <v>Указывается общая сумма чистой прибыли, полученной от регулируемого вида деятельности.</v>
      </c>
      <c r="N76" s="308"/>
      <c r="O76" s="68"/>
      <c r="P76" s="68"/>
      <c r="U76" s="68"/>
      <c r="X76" s="309"/>
      <c r="AD76" s="8"/>
      <c r="AE76" s="8"/>
      <c r="AF76" s="8"/>
      <c r="AG76" s="8"/>
      <c r="AH76" s="8"/>
      <c r="AI76" s="63">
        <v>19</v>
      </c>
    </row>
    <row r="77" spans="1:35" s="63" customFormat="1" ht="19.899999999999999" customHeight="1">
      <c r="A77" s="572"/>
      <c r="C77" s="68"/>
      <c r="D77" s="55"/>
      <c r="E77" s="311" t="str">
        <f>FHD_NUM_P_36</f>
        <v>3.1</v>
      </c>
      <c r="F77"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7" s="41" t="s">
        <v>556</v>
      </c>
      <c r="H77" s="321"/>
      <c r="I77" s="321">
        <v>0</v>
      </c>
      <c r="J77" s="321">
        <v>0</v>
      </c>
      <c r="K77" s="321">
        <v>0</v>
      </c>
      <c r="L77" s="321">
        <v>0</v>
      </c>
      <c r="M77" s="67" t="str">
        <f>FHD_NOTE_P_36</f>
        <v/>
      </c>
      <c r="N77" s="308"/>
      <c r="O77" s="68"/>
      <c r="P77" s="68"/>
      <c r="U77" s="68"/>
      <c r="X77" s="309"/>
      <c r="AD77" s="8"/>
      <c r="AE77" s="8"/>
      <c r="AF77" s="8"/>
      <c r="AG77" s="8"/>
      <c r="AH77" s="8"/>
      <c r="AI77" s="63">
        <v>19</v>
      </c>
    </row>
    <row r="78" spans="1:35" s="63" customFormat="1" ht="20.25" customHeight="1">
      <c r="A78" s="572"/>
      <c r="C78" s="68"/>
      <c r="D78" s="55"/>
      <c r="E78" s="311" t="str">
        <f>FHD_NUM_P_37</f>
        <v>4</v>
      </c>
      <c r="F78" s="153" t="str">
        <f>FHD_P_37</f>
        <v>Изменение стоимости основных фондов, в том числе:</v>
      </c>
      <c r="G78" s="41" t="s">
        <v>556</v>
      </c>
      <c r="H78" s="321"/>
      <c r="I78" s="321">
        <f>I79</f>
        <v>118702.02047</v>
      </c>
      <c r="J78" s="321">
        <v>0</v>
      </c>
      <c r="K78" s="321">
        <v>0</v>
      </c>
      <c r="L78" s="321">
        <v>0</v>
      </c>
      <c r="M78" s="67" t="str">
        <f>FHD_NOTE_P_37</f>
        <v>Указывается общее изменение стоимости основных фондов.</v>
      </c>
      <c r="N78" s="308"/>
      <c r="O78" s="68"/>
      <c r="P78" s="68"/>
      <c r="U78" s="68"/>
      <c r="X78" s="309"/>
      <c r="AD78" s="8"/>
      <c r="AE78" s="8"/>
      <c r="AF78" s="8"/>
      <c r="AG78" s="8"/>
      <c r="AH78" s="8"/>
      <c r="AI78" s="63">
        <v>19</v>
      </c>
    </row>
    <row r="79" spans="1:35" s="63" customFormat="1" ht="24" customHeight="1">
      <c r="A79" s="572"/>
      <c r="C79" s="68"/>
      <c r="D79" s="55"/>
      <c r="E79" s="311" t="str">
        <f>FHD_NUM_P_38</f>
        <v>4.1</v>
      </c>
      <c r="F79" s="323" t="str">
        <f>FHD_P_38</f>
        <v>Изменение стоимости основных фондов за счет их ввода в эксплуатацию (вывода из эксплуатации)</v>
      </c>
      <c r="G79" s="41" t="s">
        <v>556</v>
      </c>
      <c r="H79" s="321"/>
      <c r="I79" s="321">
        <f>I80-I81</f>
        <v>118702.02047</v>
      </c>
      <c r="J79" s="321">
        <v>0</v>
      </c>
      <c r="K79" s="321">
        <v>0</v>
      </c>
      <c r="L79" s="321">
        <v>0</v>
      </c>
      <c r="M79" s="67" t="str">
        <f>FHD_NOTE_P_38</f>
        <v>Указываются общее изменение стоимости основных фондов за счет их ввода в эксплуатацию и вывода из эксплуатации.</v>
      </c>
      <c r="N79" s="308"/>
      <c r="O79" s="68"/>
      <c r="P79" s="68"/>
      <c r="U79" s="68"/>
      <c r="X79" s="309"/>
      <c r="AD79" s="8"/>
      <c r="AE79" s="8"/>
      <c r="AF79" s="8"/>
      <c r="AG79" s="8"/>
      <c r="AH79" s="8"/>
      <c r="AI79" s="63">
        <v>19</v>
      </c>
    </row>
    <row r="80" spans="1:35" s="63" customFormat="1" ht="24" customHeight="1">
      <c r="A80" s="572"/>
      <c r="C80" s="68"/>
      <c r="D80" s="55"/>
      <c r="E80" s="311" t="str">
        <f>FHD_NUM_P_39</f>
        <v>4.1.1</v>
      </c>
      <c r="F80" s="338" t="str">
        <f>FHD_P_39</f>
        <v>Изменение стоимости основных фондов за счет их ввода в эксплуатацию</v>
      </c>
      <c r="G80" s="340" t="s">
        <v>556</v>
      </c>
      <c r="H80" s="321"/>
      <c r="I80" s="321">
        <v>126155.98903</v>
      </c>
      <c r="J80" s="321">
        <v>0</v>
      </c>
      <c r="K80" s="321">
        <v>0</v>
      </c>
      <c r="L80" s="321">
        <v>0</v>
      </c>
      <c r="M80" s="67" t="str">
        <f>FHD_NOTE_P_39</f>
        <v>Указываются изменение стоимости основных фондов за счет их ввода в эксплуатацию.</v>
      </c>
      <c r="N80" s="308"/>
      <c r="O80" s="68"/>
      <c r="P80" s="68"/>
      <c r="U80" s="68"/>
      <c r="X80" s="309"/>
      <c r="AD80" s="8"/>
      <c r="AE80" s="8"/>
      <c r="AF80" s="8"/>
      <c r="AG80" s="8"/>
      <c r="AH80" s="8"/>
      <c r="AI80" s="63">
        <v>19</v>
      </c>
    </row>
    <row r="81" spans="1:35" s="63" customFormat="1" ht="24" customHeight="1">
      <c r="A81" s="572"/>
      <c r="C81" s="68"/>
      <c r="D81" s="55"/>
      <c r="E81" s="311" t="str">
        <f>FHD_NUM_P_40</f>
        <v>4.1.2</v>
      </c>
      <c r="F81" s="1092" t="str">
        <f>FHD_P_40</f>
        <v>Изменение стоимости основных фондов за счет их вывода в эксплуатацию</v>
      </c>
      <c r="G81" s="41" t="s">
        <v>556</v>
      </c>
      <c r="H81" s="561"/>
      <c r="I81" s="321">
        <v>7453.9685600000003</v>
      </c>
      <c r="J81" s="561">
        <v>0</v>
      </c>
      <c r="K81" s="561">
        <v>0</v>
      </c>
      <c r="L81" s="561">
        <v>0</v>
      </c>
      <c r="M81" s="67" t="str">
        <f>FHD_NOTE_P_40</f>
        <v>Указываются изменение стоимости основных фондов за счет их вывода из эксплуатации.</v>
      </c>
      <c r="N81" s="308"/>
      <c r="O81" s="68"/>
      <c r="P81" s="68"/>
      <c r="U81" s="68"/>
      <c r="X81" s="309"/>
      <c r="AD81" s="8"/>
      <c r="AE81" s="8"/>
      <c r="AF81" s="8"/>
      <c r="AG81" s="8"/>
      <c r="AH81" s="8"/>
      <c r="AI81" s="63">
        <v>19</v>
      </c>
    </row>
    <row r="82" spans="1:35" s="63" customFormat="1" ht="19.899999999999999" customHeight="1">
      <c r="A82" s="572"/>
      <c r="C82" s="68"/>
      <c r="D82" s="55"/>
      <c r="E82" s="311" t="str">
        <f>FHD_NUM_P_41</f>
        <v>4.2</v>
      </c>
      <c r="F82" s="1091" t="str">
        <f>FHD_P_41</f>
        <v>Изменение стоимости основных фондов за счет их переоценки</v>
      </c>
      <c r="G82" s="41" t="s">
        <v>556</v>
      </c>
      <c r="H82" s="561"/>
      <c r="I82" s="321">
        <v>0</v>
      </c>
      <c r="J82" s="561">
        <v>0</v>
      </c>
      <c r="K82" s="561">
        <v>0</v>
      </c>
      <c r="L82" s="561">
        <v>0</v>
      </c>
      <c r="M82" s="67" t="str">
        <f>FHD_NOTE_P_41</f>
        <v/>
      </c>
      <c r="N82" s="308"/>
      <c r="O82" s="68"/>
      <c r="P82" s="68"/>
      <c r="U82" s="68"/>
      <c r="X82" s="309"/>
      <c r="AD82" s="8"/>
      <c r="AE82" s="8"/>
      <c r="AF82" s="8"/>
      <c r="AG82" s="8"/>
      <c r="AH82" s="8"/>
      <c r="AI82" s="63">
        <v>19</v>
      </c>
    </row>
    <row r="83" spans="1:35" s="63" customFormat="1" ht="35.25" customHeight="1">
      <c r="A83" s="574" t="s">
        <v>586</v>
      </c>
      <c r="C83" s="68"/>
      <c r="D83" s="55"/>
      <c r="E83" s="311" t="str">
        <f>FHD_NUM_P_42</f>
        <v>5</v>
      </c>
      <c r="F83" s="1090" t="str">
        <f>FHD_P_42</f>
        <v>Валовая прибыль (убытки) от продажи товаров и услуг по регулируемым видам деятельности в сфере холодного водоснабжения</v>
      </c>
      <c r="G83" s="41" t="s">
        <v>556</v>
      </c>
      <c r="H83" s="561"/>
      <c r="I83" s="321">
        <f>I30-I31</f>
        <v>200977.30999999982</v>
      </c>
      <c r="J83" s="561">
        <f>J30-J31</f>
        <v>-465.62000000000006</v>
      </c>
      <c r="K83" s="561">
        <f>K30-K31</f>
        <v>4870.75</v>
      </c>
      <c r="L83" s="561">
        <f>L30-L31</f>
        <v>-587.31999999999971</v>
      </c>
      <c r="M83" s="67" t="str">
        <f>FHD_NOTE_P_42</f>
        <v/>
      </c>
      <c r="N83" s="308"/>
      <c r="O83" s="68"/>
      <c r="P83" s="68"/>
      <c r="U83" s="68"/>
      <c r="X83" s="309"/>
      <c r="AD83" s="8"/>
      <c r="AE83" s="8"/>
      <c r="AF83" s="8"/>
      <c r="AG83" s="8"/>
      <c r="AH83" s="8"/>
      <c r="AI83" s="63">
        <v>19</v>
      </c>
    </row>
    <row r="84" spans="1:35" s="63" customFormat="1" ht="19.899999999999999" customHeight="1">
      <c r="A84" s="572"/>
      <c r="C84" s="68" t="s">
        <v>587</v>
      </c>
      <c r="D84" s="55"/>
      <c r="E84" s="311" t="str">
        <f>FHD_NUM_P_43</f>
        <v>6</v>
      </c>
      <c r="F84" s="153" t="str">
        <f>FHD_P_43</f>
        <v>Годовая бухгалтерская (финансовая) отчетность, включая бухгалтерский баланс и приложения к нему</v>
      </c>
      <c r="G84" s="447" t="s">
        <v>312</v>
      </c>
      <c r="H84" s="621"/>
      <c r="I84" s="228"/>
      <c r="J84" s="621"/>
      <c r="K84" s="621"/>
      <c r="L84" s="621"/>
      <c r="M84"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N84" s="308"/>
      <c r="O84" s="68"/>
      <c r="P84" s="68"/>
      <c r="U84" s="68"/>
      <c r="X84" s="309"/>
      <c r="AD84" s="8"/>
      <c r="AE84" s="8"/>
      <c r="AF84" s="8"/>
      <c r="AG84" s="8"/>
      <c r="AH84" s="8"/>
      <c r="AI84" s="63">
        <v>19</v>
      </c>
    </row>
    <row r="85" spans="1:35" s="63" customFormat="1" ht="13.5" customHeight="1">
      <c r="A85" s="1380" t="s">
        <v>588</v>
      </c>
      <c r="C85" s="68"/>
      <c r="D85" s="55"/>
      <c r="E85" s="311" t="str">
        <f>FHD_NUM_P_44</f>
        <v>7</v>
      </c>
      <c r="F85" s="153" t="str">
        <f>FHD_P_44</f>
        <v>Объём поднятой воды</v>
      </c>
      <c r="G85" s="41" t="s">
        <v>589</v>
      </c>
      <c r="H85" s="562"/>
      <c r="I85" s="339">
        <v>27330.972000000002</v>
      </c>
      <c r="J85" s="562">
        <v>0</v>
      </c>
      <c r="K85" s="562">
        <v>0</v>
      </c>
      <c r="L85" s="562">
        <v>0</v>
      </c>
      <c r="M85" s="67" t="str">
        <f>FHD_NOTE_P_44</f>
        <v/>
      </c>
      <c r="N85" s="308"/>
      <c r="O85" s="68"/>
      <c r="P85" s="68"/>
      <c r="U85" s="68"/>
      <c r="X85" s="309"/>
      <c r="AD85" s="8"/>
      <c r="AE85" s="8"/>
      <c r="AF85" s="8"/>
      <c r="AG85" s="8"/>
      <c r="AH85" s="8"/>
      <c r="AI85" s="63">
        <v>0</v>
      </c>
    </row>
    <row r="86" spans="1:35" s="63" customFormat="1" ht="13.5" customHeight="1">
      <c r="A86" s="1380"/>
      <c r="C86" s="68"/>
      <c r="D86" s="55"/>
      <c r="E86" s="311" t="str">
        <f>FHD_NUM_P_45</f>
        <v>8</v>
      </c>
      <c r="F86" s="153" t="str">
        <f>FHD_P_45</f>
        <v>Объём покупной воды</v>
      </c>
      <c r="G86" s="41" t="s">
        <v>589</v>
      </c>
      <c r="H86" s="562"/>
      <c r="I86" s="339">
        <v>0</v>
      </c>
      <c r="J86" s="562">
        <v>10.525988999999999</v>
      </c>
      <c r="K86" s="562">
        <v>0</v>
      </c>
      <c r="L86" s="562">
        <v>0</v>
      </c>
      <c r="M86" s="67" t="str">
        <f>FHD_NOTE_P_45</f>
        <v/>
      </c>
      <c r="N86" s="308"/>
      <c r="O86" s="68"/>
      <c r="P86" s="68"/>
      <c r="U86" s="68"/>
      <c r="X86" s="309"/>
      <c r="AD86" s="8"/>
      <c r="AE86" s="8"/>
      <c r="AF86" s="8"/>
      <c r="AG86" s="8"/>
      <c r="AH86" s="8"/>
      <c r="AI86" s="63">
        <v>0</v>
      </c>
    </row>
    <row r="87" spans="1:35" s="63" customFormat="1" ht="13.5" customHeight="1">
      <c r="A87" s="1380"/>
      <c r="C87" s="68"/>
      <c r="D87" s="337"/>
      <c r="E87" s="311" t="str">
        <f>FHD_NUM_P_46</f>
        <v>9</v>
      </c>
      <c r="F87" s="153" t="str">
        <f>FHD_P_46</f>
        <v>Объём воды, пропущенной через очистные сооружения</v>
      </c>
      <c r="G87" s="41" t="s">
        <v>589</v>
      </c>
      <c r="H87" s="562"/>
      <c r="I87" s="339">
        <f>I85</f>
        <v>27330.972000000002</v>
      </c>
      <c r="J87" s="562">
        <v>0</v>
      </c>
      <c r="K87" s="562">
        <v>0</v>
      </c>
      <c r="L87" s="562">
        <v>0</v>
      </c>
      <c r="M87" s="67" t="str">
        <f>FHD_NOTE_P_46</f>
        <v/>
      </c>
      <c r="N87" s="308"/>
      <c r="O87" s="68"/>
      <c r="P87" s="68"/>
      <c r="U87" s="68"/>
      <c r="X87" s="309"/>
      <c r="AD87" s="8"/>
      <c r="AE87" s="8"/>
      <c r="AF87" s="8"/>
      <c r="AG87" s="8"/>
      <c r="AH87" s="8"/>
      <c r="AI87" s="63">
        <v>0</v>
      </c>
    </row>
    <row r="88" spans="1:35" s="63" customFormat="1" ht="13.5" customHeight="1">
      <c r="A88" s="1380"/>
      <c r="C88" s="68"/>
      <c r="D88" s="55"/>
      <c r="E88" s="311" t="str">
        <f>FHD_NUM_P_47</f>
        <v>10</v>
      </c>
      <c r="F88" s="153" t="str">
        <f>FHD_P_47</f>
        <v>Объём отпущенной потребителям воды, в том числе:</v>
      </c>
      <c r="G88" s="41" t="s">
        <v>589</v>
      </c>
      <c r="H88" s="562"/>
      <c r="I88" s="339">
        <f>22772.037926-L88</f>
        <v>22768.708280999999</v>
      </c>
      <c r="J88" s="562">
        <v>0</v>
      </c>
      <c r="K88" s="562">
        <v>0</v>
      </c>
      <c r="L88" s="562">
        <v>3.3296450000000002</v>
      </c>
      <c r="M88" s="67" t="str">
        <f>FHD_NOTE_P_47</f>
        <v>Указывается общий объем отпущенной потребителям воды.</v>
      </c>
      <c r="N88" s="308"/>
      <c r="O88" s="68"/>
      <c r="P88" s="68"/>
      <c r="U88" s="68"/>
      <c r="X88" s="309"/>
      <c r="AD88" s="8"/>
      <c r="AE88" s="8"/>
      <c r="AF88" s="8"/>
      <c r="AG88" s="8"/>
      <c r="AH88" s="8"/>
      <c r="AI88" s="63">
        <v>0</v>
      </c>
    </row>
    <row r="89" spans="1:35" s="11" customFormat="1" ht="24" customHeight="1">
      <c r="A89" s="1380"/>
      <c r="B89" s="63"/>
      <c r="C89" s="68"/>
      <c r="D89" s="55"/>
      <c r="E89" s="311" t="str">
        <f>FHD_NUM_P_48</f>
        <v>10.1</v>
      </c>
      <c r="F89" s="153" t="str">
        <f>FHD_P_48</f>
        <v>Объём отпущенной потребителям воды, определенный по приборам учета</v>
      </c>
      <c r="G89" s="41" t="s">
        <v>589</v>
      </c>
      <c r="H89" s="562"/>
      <c r="I89" s="339">
        <f>22295.27804+460.194253-L89</f>
        <v>22752.142648000001</v>
      </c>
      <c r="J89" s="562">
        <v>0</v>
      </c>
      <c r="K89" s="562">
        <v>0</v>
      </c>
      <c r="L89" s="562">
        <v>3.3296450000000002</v>
      </c>
      <c r="M89" s="67" t="str">
        <f>FHD_NOTE_P_48</f>
        <v/>
      </c>
      <c r="N89" s="308"/>
      <c r="O89" s="68"/>
      <c r="P89" s="68"/>
      <c r="Q89" s="63"/>
      <c r="R89" s="63"/>
      <c r="S89" s="63"/>
      <c r="T89" s="63"/>
      <c r="U89" s="68"/>
      <c r="V89" s="63"/>
      <c r="W89" s="63"/>
      <c r="X89" s="309"/>
      <c r="Y89" s="63"/>
      <c r="Z89" s="63"/>
      <c r="AA89" s="63"/>
      <c r="AB89" s="63"/>
      <c r="AC89" s="63"/>
      <c r="AD89" s="8"/>
      <c r="AE89" s="8"/>
      <c r="AF89" s="8"/>
      <c r="AG89" s="8"/>
      <c r="AH89" s="8"/>
      <c r="AI89" s="11">
        <v>0</v>
      </c>
    </row>
    <row r="90" spans="1:35" s="11" customFormat="1" ht="24" customHeight="1">
      <c r="A90" s="1380"/>
      <c r="B90" s="63"/>
      <c r="C90" s="68"/>
      <c r="D90" s="55"/>
      <c r="E90" s="311" t="str">
        <f>FHD_NUM_P_49</f>
        <v>10.2</v>
      </c>
      <c r="F90" s="153" t="str">
        <f>FHD_P_49</f>
        <v>Объём отпущенной потребителям воды, определенный расчетным способом</v>
      </c>
      <c r="G90" s="41" t="s">
        <v>589</v>
      </c>
      <c r="H90" s="563">
        <f>SUM(H91:H92)</f>
        <v>0</v>
      </c>
      <c r="I90" s="434">
        <f>SUM(I91:I92)</f>
        <v>16.565629999999999</v>
      </c>
      <c r="J90" s="563">
        <f>SUM(J91:J92)</f>
        <v>0</v>
      </c>
      <c r="K90" s="563">
        <f>SUM(K91:K92)</f>
        <v>0</v>
      </c>
      <c r="L90" s="563">
        <f>SUM(L91:L92)</f>
        <v>0</v>
      </c>
      <c r="M90" s="67" t="str">
        <f>FHD_NOTE_P_49</f>
        <v/>
      </c>
      <c r="N90" s="308"/>
      <c r="O90" s="68"/>
      <c r="P90" s="68"/>
      <c r="Q90" s="63"/>
      <c r="R90" s="63"/>
      <c r="S90" s="63"/>
      <c r="T90" s="63"/>
      <c r="U90" s="68"/>
      <c r="V90" s="63"/>
      <c r="W90" s="63"/>
      <c r="X90" s="309"/>
      <c r="Y90" s="63"/>
      <c r="Z90" s="63"/>
      <c r="AA90" s="63"/>
      <c r="AB90" s="63"/>
      <c r="AC90" s="63"/>
      <c r="AD90" s="8"/>
      <c r="AE90" s="8"/>
      <c r="AF90" s="8"/>
      <c r="AG90" s="8"/>
      <c r="AH90" s="8"/>
      <c r="AI90" s="11">
        <v>0</v>
      </c>
    </row>
    <row r="91" spans="1:35" s="11" customFormat="1" ht="24" customHeight="1">
      <c r="A91" s="1380"/>
      <c r="B91" s="63"/>
      <c r="C91" s="68"/>
      <c r="D91" s="55"/>
      <c r="E91" s="311" t="str">
        <f>FHD_NUM_P_50</f>
        <v>10.2.1</v>
      </c>
      <c r="F91" s="153" t="str">
        <f>FHD_P_50</f>
        <v>Объём отпущенной потребителям воды, определенный по нормативам потребления коммунальных услуг</v>
      </c>
      <c r="G91" s="41" t="s">
        <v>589</v>
      </c>
      <c r="H91" s="562"/>
      <c r="I91" s="339">
        <v>0</v>
      </c>
      <c r="J91" s="562">
        <v>0</v>
      </c>
      <c r="K91" s="562">
        <v>0</v>
      </c>
      <c r="L91" s="562">
        <v>0</v>
      </c>
      <c r="M91" s="67" t="str">
        <f>FHD_NOTE_P_50</f>
        <v/>
      </c>
      <c r="N91" s="308"/>
      <c r="O91" s="68"/>
      <c r="P91" s="68"/>
      <c r="Q91" s="63"/>
      <c r="R91" s="63"/>
      <c r="S91" s="63"/>
      <c r="T91" s="63"/>
      <c r="U91" s="68"/>
      <c r="V91" s="63"/>
      <c r="W91" s="63"/>
      <c r="X91" s="309"/>
      <c r="Y91" s="63"/>
      <c r="Z91" s="63"/>
      <c r="AA91" s="63"/>
      <c r="AB91" s="63"/>
      <c r="AC91" s="63"/>
      <c r="AD91" s="8"/>
      <c r="AE91" s="8"/>
      <c r="AF91" s="8"/>
      <c r="AG91" s="8"/>
      <c r="AH91" s="8"/>
      <c r="AI91" s="11">
        <v>0</v>
      </c>
    </row>
    <row r="92" spans="1:35" s="11" customFormat="1" ht="24" customHeight="1">
      <c r="A92" s="1380"/>
      <c r="B92" s="63"/>
      <c r="C92" s="68"/>
      <c r="D92" s="55"/>
      <c r="E92" s="311" t="str">
        <f>FHD_NUM_P_51</f>
        <v>10.2.2</v>
      </c>
      <c r="F92" s="153" t="str">
        <f>FHD_P_51</f>
        <v xml:space="preserve">Объём отпущенной потребителям воды, определенный по нормативам потребления коммунальных ресурсов </v>
      </c>
      <c r="G92" s="41" t="s">
        <v>589</v>
      </c>
      <c r="H92" s="562"/>
      <c r="I92" s="339">
        <v>16.565629999999999</v>
      </c>
      <c r="J92" s="562">
        <v>0</v>
      </c>
      <c r="K92" s="562">
        <v>0</v>
      </c>
      <c r="L92" s="562">
        <v>0</v>
      </c>
      <c r="M92" s="67" t="str">
        <f>FHD_NOTE_P_51</f>
        <v/>
      </c>
      <c r="N92" s="308"/>
      <c r="O92" s="68"/>
      <c r="P92" s="68"/>
      <c r="Q92" s="63"/>
      <c r="R92" s="63"/>
      <c r="S92" s="63"/>
      <c r="T92" s="63"/>
      <c r="U92" s="68"/>
      <c r="V92" s="63"/>
      <c r="W92" s="63"/>
      <c r="X92" s="309"/>
      <c r="Y92" s="63"/>
      <c r="Z92" s="63"/>
      <c r="AA92" s="63"/>
      <c r="AB92" s="63"/>
      <c r="AC92" s="63"/>
      <c r="AD92" s="8"/>
      <c r="AE92" s="8"/>
      <c r="AF92" s="8"/>
      <c r="AG92" s="8"/>
      <c r="AH92" s="8"/>
      <c r="AI92" s="11">
        <v>0</v>
      </c>
    </row>
    <row r="93" spans="1:35" s="11" customFormat="1" ht="13.5" customHeight="1">
      <c r="A93" s="1380"/>
      <c r="B93" s="63"/>
      <c r="C93" s="68"/>
      <c r="D93" s="55"/>
      <c r="E93" s="311" t="str">
        <f>FHD_NUM_P_52</f>
        <v>11</v>
      </c>
      <c r="F93" s="153" t="str">
        <f>FHD_P_52</f>
        <v>Потери воды в сетях</v>
      </c>
      <c r="G93" s="41" t="s">
        <v>562</v>
      </c>
      <c r="H93" s="561"/>
      <c r="I93" s="321">
        <f>2095.251421/24867.289347*100</f>
        <v>8.425733065484966</v>
      </c>
      <c r="J93" s="561">
        <f>0.621554/J86*100</f>
        <v>5.9049463190584763</v>
      </c>
      <c r="K93" s="561">
        <v>0</v>
      </c>
      <c r="L93" s="561">
        <v>0</v>
      </c>
      <c r="M93" s="67" t="str">
        <f>FHD_NOTE_P_52</f>
        <v/>
      </c>
      <c r="N93" s="308"/>
      <c r="O93" s="68"/>
      <c r="P93" s="68"/>
      <c r="Q93" s="63"/>
      <c r="R93" s="63"/>
      <c r="S93" s="63"/>
      <c r="T93" s="63"/>
      <c r="U93" s="68"/>
      <c r="V93" s="63"/>
      <c r="W93" s="63"/>
      <c r="X93" s="309"/>
      <c r="Y93" s="63"/>
      <c r="Z93" s="63"/>
      <c r="AA93" s="63"/>
      <c r="AB93" s="63"/>
      <c r="AC93" s="63"/>
      <c r="AD93" s="8"/>
      <c r="AE93" s="8"/>
      <c r="AF93" s="8"/>
      <c r="AG93" s="8"/>
      <c r="AH93" s="8"/>
      <c r="AI93" s="11">
        <v>0</v>
      </c>
    </row>
    <row r="94" spans="1:35" s="63" customFormat="1" ht="13.5" hidden="1" customHeight="1">
      <c r="A94" s="1380" t="s">
        <v>590</v>
      </c>
      <c r="C94" s="68"/>
      <c r="D94" s="55"/>
      <c r="E94" s="311" t="str">
        <f>FHD_NUM_P_53</f>
        <v/>
      </c>
      <c r="F94" s="153" t="str">
        <f>FHD_P_53</f>
        <v/>
      </c>
      <c r="G94" s="41" t="s">
        <v>589</v>
      </c>
      <c r="H94" s="562"/>
      <c r="I94" s="339"/>
      <c r="J94" s="562"/>
      <c r="K94" s="562"/>
      <c r="L94" s="562"/>
      <c r="M94" s="67" t="str">
        <f>FHD_NOTE_P_53</f>
        <v/>
      </c>
      <c r="N94" s="308"/>
      <c r="O94" s="68"/>
      <c r="P94" s="68"/>
      <c r="U94" s="68"/>
      <c r="X94" s="309"/>
      <c r="AD94" s="8"/>
      <c r="AE94" s="8"/>
      <c r="AF94" s="8"/>
      <c r="AG94" s="8"/>
      <c r="AH94" s="8"/>
      <c r="AI94" s="63">
        <v>0</v>
      </c>
    </row>
    <row r="95" spans="1:35" s="63" customFormat="1" ht="13.5" hidden="1" customHeight="1">
      <c r="A95" s="1380"/>
      <c r="C95" s="68"/>
      <c r="D95" s="55"/>
      <c r="E95" s="311" t="str">
        <f>FHD_NUM_P_54</f>
        <v/>
      </c>
      <c r="F95" s="153" t="str">
        <f>FHD_P_54</f>
        <v/>
      </c>
      <c r="G95" s="41" t="s">
        <v>589</v>
      </c>
      <c r="H95" s="562"/>
      <c r="I95" s="339"/>
      <c r="J95" s="562"/>
      <c r="K95" s="562"/>
      <c r="L95" s="562"/>
      <c r="M95" s="67" t="str">
        <f>FHD_NOTE_P_54</f>
        <v/>
      </c>
      <c r="N95" s="308"/>
      <c r="O95" s="68"/>
      <c r="P95" s="68"/>
      <c r="U95" s="68"/>
      <c r="X95" s="309"/>
      <c r="AD95" s="8"/>
      <c r="AE95" s="8"/>
      <c r="AF95" s="8"/>
      <c r="AG95" s="8"/>
      <c r="AH95" s="8"/>
      <c r="AI95" s="63">
        <v>0</v>
      </c>
    </row>
    <row r="96" spans="1:35" s="63" customFormat="1" ht="11.25" hidden="1" customHeight="1">
      <c r="A96" s="1380"/>
      <c r="C96" s="68"/>
      <c r="D96" s="337"/>
      <c r="E96" s="311" t="str">
        <f>FHD_NUM_P_55</f>
        <v/>
      </c>
      <c r="F96" s="153" t="str">
        <f>FHD_P_55</f>
        <v/>
      </c>
      <c r="G96" s="856"/>
      <c r="H96" s="562"/>
      <c r="I96" s="339"/>
      <c r="J96" s="562"/>
      <c r="K96" s="562"/>
      <c r="L96" s="562"/>
      <c r="M96" s="67" t="str">
        <f>FHD_NOTE_P_55</f>
        <v/>
      </c>
      <c r="N96" s="308"/>
      <c r="O96" s="68"/>
      <c r="P96" s="68"/>
      <c r="U96" s="68"/>
      <c r="X96" s="309"/>
      <c r="AD96" s="8"/>
      <c r="AE96" s="8"/>
      <c r="AF96" s="8"/>
      <c r="AG96" s="8"/>
      <c r="AH96" s="8"/>
      <c r="AI96" s="63">
        <v>0</v>
      </c>
    </row>
    <row r="97" spans="1:35" s="63" customFormat="1" ht="13.5" hidden="1" customHeight="1">
      <c r="A97" s="1380"/>
      <c r="C97" s="68"/>
      <c r="D97" s="55"/>
      <c r="E97" s="311" t="str">
        <f>FHD_NUM_P_56</f>
        <v/>
      </c>
      <c r="F97" s="153" t="str">
        <f>FHD_P_56</f>
        <v/>
      </c>
      <c r="G97" s="41" t="s">
        <v>591</v>
      </c>
      <c r="H97" s="562"/>
      <c r="I97" s="339"/>
      <c r="J97" s="562"/>
      <c r="K97" s="562"/>
      <c r="L97" s="562"/>
      <c r="M97" s="67" t="str">
        <f>FHD_NOTE_P_56</f>
        <v/>
      </c>
      <c r="N97" s="308"/>
      <c r="O97" s="68"/>
      <c r="P97" s="68"/>
      <c r="U97" s="68"/>
      <c r="X97" s="309"/>
      <c r="AD97" s="8"/>
      <c r="AE97" s="8"/>
      <c r="AF97" s="8"/>
      <c r="AG97" s="8"/>
      <c r="AH97" s="8"/>
      <c r="AI97" s="63">
        <v>0</v>
      </c>
    </row>
    <row r="98" spans="1:35" s="11" customFormat="1" ht="13.5" hidden="1" customHeight="1">
      <c r="A98" s="1380"/>
      <c r="B98" s="63"/>
      <c r="C98" s="68"/>
      <c r="D98" s="55"/>
      <c r="E98" s="311" t="str">
        <f>FHD_NUM_P_57</f>
        <v/>
      </c>
      <c r="F98" s="153" t="str">
        <f>FHD_P_57</f>
        <v/>
      </c>
      <c r="G98" s="41" t="s">
        <v>562</v>
      </c>
      <c r="H98" s="561"/>
      <c r="I98" s="321"/>
      <c r="J98" s="561"/>
      <c r="K98" s="561"/>
      <c r="L98" s="561"/>
      <c r="M98" s="67" t="str">
        <f>FHD_NOTE_P_57</f>
        <v/>
      </c>
      <c r="N98" s="308"/>
      <c r="O98" s="68"/>
      <c r="P98" s="68"/>
      <c r="Q98" s="63"/>
      <c r="R98" s="63"/>
      <c r="S98" s="63"/>
      <c r="T98" s="63"/>
      <c r="U98" s="68"/>
      <c r="V98" s="63"/>
      <c r="W98" s="63"/>
      <c r="X98" s="309"/>
      <c r="Y98" s="63"/>
      <c r="Z98" s="63"/>
      <c r="AA98" s="63"/>
      <c r="AB98" s="63"/>
      <c r="AC98" s="63"/>
      <c r="AD98" s="8"/>
      <c r="AE98" s="8"/>
      <c r="AF98" s="8"/>
      <c r="AG98" s="8"/>
      <c r="AH98" s="8"/>
      <c r="AI98" s="11">
        <v>0</v>
      </c>
    </row>
    <row r="99" spans="1:35" ht="13.5" hidden="1" customHeight="1">
      <c r="A99" s="1380" t="s">
        <v>592</v>
      </c>
      <c r="D99" s="55"/>
      <c r="E99" s="311" t="str">
        <f>FHD_NUM_P_58</f>
        <v/>
      </c>
      <c r="F99" s="153" t="str">
        <f>FHD_P_58</f>
        <v/>
      </c>
      <c r="G99" s="41" t="s">
        <v>589</v>
      </c>
      <c r="H99" s="562"/>
      <c r="I99" s="339"/>
      <c r="J99" s="562"/>
      <c r="K99" s="562"/>
      <c r="L99" s="562"/>
      <c r="M99" s="67" t="str">
        <f>FHD_NOTE_P_58</f>
        <v/>
      </c>
      <c r="N99" s="308"/>
      <c r="AI99" s="11">
        <v>0</v>
      </c>
    </row>
    <row r="100" spans="1:35" ht="13.5" hidden="1" customHeight="1">
      <c r="A100" s="1380"/>
      <c r="D100" s="55"/>
      <c r="E100" s="311" t="str">
        <f>FHD_NUM_P_59</f>
        <v/>
      </c>
      <c r="F100" s="153" t="str">
        <f>FHD_P_59</f>
        <v/>
      </c>
      <c r="G100" s="41" t="s">
        <v>589</v>
      </c>
      <c r="H100" s="562"/>
      <c r="I100" s="339"/>
      <c r="J100" s="562"/>
      <c r="K100" s="562"/>
      <c r="L100" s="562"/>
      <c r="M100" s="67" t="str">
        <f>FHD_NOTE_P_59</f>
        <v/>
      </c>
      <c r="N100" s="308"/>
      <c r="AI100" s="11">
        <v>0</v>
      </c>
    </row>
    <row r="101" spans="1:35" ht="13.5" hidden="1" customHeight="1">
      <c r="A101" s="1380"/>
      <c r="D101" s="55"/>
      <c r="E101" s="311" t="str">
        <f>FHD_NUM_P_60</f>
        <v/>
      </c>
      <c r="F101" s="153" t="str">
        <f>FHD_P_60</f>
        <v/>
      </c>
      <c r="G101" s="41" t="s">
        <v>589</v>
      </c>
      <c r="H101" s="562"/>
      <c r="I101" s="339"/>
      <c r="J101" s="562"/>
      <c r="K101" s="562"/>
      <c r="L101" s="562"/>
      <c r="M101" s="67" t="str">
        <f>FHD_NOTE_P_60</f>
        <v/>
      </c>
      <c r="N101" s="308"/>
      <c r="AI101" s="11">
        <v>0</v>
      </c>
    </row>
    <row r="102" spans="1:35" s="63" customFormat="1" ht="13.5" hidden="1" customHeight="1">
      <c r="A102" s="1380" t="s">
        <v>593</v>
      </c>
      <c r="C102" s="68"/>
      <c r="D102" s="55"/>
      <c r="E102" s="311" t="str">
        <f>FHD_NUM_P_61</f>
        <v/>
      </c>
      <c r="F102" s="153" t="str">
        <f>FHD_P_61</f>
        <v/>
      </c>
      <c r="G102" s="41" t="s">
        <v>560</v>
      </c>
      <c r="H102" s="564"/>
      <c r="I102" s="430"/>
      <c r="J102" s="564"/>
      <c r="K102" s="564"/>
      <c r="L102" s="564"/>
      <c r="M102" s="67" t="str">
        <f>FHD_NOTE_P_61</f>
        <v/>
      </c>
      <c r="N102" s="308"/>
      <c r="O102" s="68"/>
      <c r="P102" s="68"/>
      <c r="U102" s="68"/>
      <c r="X102" s="309"/>
      <c r="AD102" s="8"/>
      <c r="AE102" s="8"/>
      <c r="AF102" s="8"/>
      <c r="AG102" s="8"/>
      <c r="AH102" s="8"/>
      <c r="AI102" s="63">
        <v>0</v>
      </c>
    </row>
    <row r="103" spans="1:35" s="68" customFormat="1" ht="3.75" hidden="1" customHeight="1">
      <c r="A103" s="1380"/>
      <c r="D103" s="313"/>
      <c r="E103" s="316" t="str">
        <f>E102&amp;".0"</f>
        <v>.0</v>
      </c>
      <c r="F103" s="579"/>
      <c r="G103" s="580"/>
      <c r="H103" s="577"/>
      <c r="I103" s="577"/>
      <c r="J103" s="577"/>
      <c r="K103" s="577"/>
      <c r="L103" s="577"/>
      <c r="M103" s="581"/>
      <c r="AI103" s="68">
        <v>0</v>
      </c>
    </row>
    <row r="104" spans="1:35" ht="24" hidden="1" customHeight="1">
      <c r="A104" s="1380"/>
      <c r="D104" s="77"/>
      <c r="E104" s="558"/>
      <c r="F104" s="559" t="s">
        <v>594</v>
      </c>
      <c r="G104" s="334"/>
      <c r="H104" s="335"/>
      <c r="I104" s="335"/>
      <c r="J104" s="335"/>
      <c r="K104" s="335"/>
      <c r="L104" s="335"/>
      <c r="M104" s="199" t="s">
        <v>595</v>
      </c>
      <c r="N104" s="308"/>
      <c r="AI104" s="11">
        <v>0</v>
      </c>
    </row>
    <row r="105" spans="1:35" s="63" customFormat="1" ht="13.5" hidden="1" customHeight="1">
      <c r="A105" s="1380"/>
      <c r="C105" s="68"/>
      <c r="D105" s="55"/>
      <c r="E105" s="311" t="str">
        <f>FHD_NUM_P_62</f>
        <v/>
      </c>
      <c r="F105" s="153" t="str">
        <f>FHD_P_62</f>
        <v/>
      </c>
      <c r="G105" s="395" t="s">
        <v>560</v>
      </c>
      <c r="H105" s="321"/>
      <c r="I105" s="321"/>
      <c r="J105" s="321"/>
      <c r="K105" s="321"/>
      <c r="L105" s="321"/>
      <c r="M105" s="67" t="str">
        <f>FHD_NOTE_P_62</f>
        <v/>
      </c>
      <c r="N105" s="308"/>
      <c r="O105" s="68"/>
      <c r="P105" s="68"/>
      <c r="U105" s="68"/>
      <c r="X105" s="309"/>
      <c r="AD105" s="8"/>
      <c r="AE105" s="8"/>
      <c r="AF105" s="8"/>
      <c r="AG105" s="8"/>
      <c r="AH105" s="8"/>
      <c r="AI105" s="63">
        <v>0</v>
      </c>
    </row>
    <row r="106" spans="1:35" s="63" customFormat="1" ht="13.5" hidden="1" customHeight="1">
      <c r="A106" s="1380"/>
      <c r="C106" s="68"/>
      <c r="D106" s="55"/>
      <c r="E106" s="311" t="str">
        <f>FHD_NUM_P_63</f>
        <v/>
      </c>
      <c r="F106" s="153" t="str">
        <f>FHD_P_63</f>
        <v/>
      </c>
      <c r="G106" s="395" t="s">
        <v>591</v>
      </c>
      <c r="H106" s="339"/>
      <c r="I106" s="339"/>
      <c r="J106" s="339"/>
      <c r="K106" s="339"/>
      <c r="L106" s="339"/>
      <c r="M106" s="67" t="str">
        <f>FHD_NOTE_P_63</f>
        <v/>
      </c>
      <c r="N106" s="308"/>
      <c r="O106" s="68"/>
      <c r="P106" s="68"/>
      <c r="U106" s="68"/>
      <c r="X106" s="309"/>
      <c r="AD106" s="8"/>
      <c r="AE106" s="8"/>
      <c r="AF106" s="8"/>
      <c r="AG106" s="8"/>
      <c r="AH106" s="8"/>
      <c r="AI106" s="63">
        <v>0</v>
      </c>
    </row>
    <row r="107" spans="1:35" s="63" customFormat="1" ht="13.5" hidden="1" customHeight="1">
      <c r="A107" s="1380"/>
      <c r="C107" s="68"/>
      <c r="D107" s="55"/>
      <c r="E107" s="311" t="str">
        <f>FHD_NUM_P_64</f>
        <v/>
      </c>
      <c r="F107" s="153" t="str">
        <f>FHD_P_64</f>
        <v/>
      </c>
      <c r="G107" s="395" t="s">
        <v>591</v>
      </c>
      <c r="H107" s="800"/>
      <c r="I107" s="306"/>
      <c r="J107" s="800"/>
      <c r="K107" s="800"/>
      <c r="L107" s="800"/>
      <c r="M107" s="67" t="str">
        <f>FHD_NOTE_P_64</f>
        <v/>
      </c>
      <c r="N107" s="308"/>
      <c r="O107" s="68"/>
      <c r="P107" s="68"/>
      <c r="U107" s="68"/>
      <c r="X107" s="309"/>
      <c r="AD107" s="8"/>
      <c r="AE107" s="8"/>
      <c r="AF107" s="8"/>
      <c r="AG107" s="8"/>
      <c r="AH107" s="8"/>
      <c r="AI107" s="63">
        <v>0</v>
      </c>
    </row>
    <row r="108" spans="1:35" s="63" customFormat="1" ht="13.5" hidden="1" customHeight="1">
      <c r="A108" s="1380"/>
      <c r="C108" s="68"/>
      <c r="D108" s="55"/>
      <c r="E108" s="311" t="str">
        <f>FHD_NUM_P_65</f>
        <v/>
      </c>
      <c r="F108" s="153" t="str">
        <f>FHD_P_65</f>
        <v/>
      </c>
      <c r="G108" s="395" t="s">
        <v>591</v>
      </c>
      <c r="H108" s="339"/>
      <c r="I108" s="339"/>
      <c r="J108" s="339"/>
      <c r="K108" s="339"/>
      <c r="L108" s="339"/>
      <c r="M108" s="67" t="str">
        <f>FHD_NOTE_P_65</f>
        <v/>
      </c>
      <c r="N108" s="308"/>
      <c r="O108" s="68"/>
      <c r="P108" s="68"/>
      <c r="U108" s="68"/>
      <c r="X108" s="309"/>
      <c r="AD108" s="8"/>
      <c r="AE108" s="8"/>
      <c r="AF108" s="8"/>
      <c r="AG108" s="8"/>
      <c r="AH108" s="8"/>
      <c r="AI108" s="63">
        <v>0</v>
      </c>
    </row>
    <row r="109" spans="1:35" s="63" customFormat="1" ht="13.5" hidden="1" customHeight="1">
      <c r="A109" s="1380"/>
      <c r="C109" s="68"/>
      <c r="D109" s="55"/>
      <c r="E109" s="311" t="str">
        <f>FHD_NUM_P_66</f>
        <v/>
      </c>
      <c r="F109" s="323" t="str">
        <f>FHD_P_66</f>
        <v/>
      </c>
      <c r="G109" s="395" t="s">
        <v>591</v>
      </c>
      <c r="H109" s="339"/>
      <c r="I109" s="339"/>
      <c r="J109" s="339"/>
      <c r="K109" s="339"/>
      <c r="L109" s="339"/>
      <c r="M109" s="67" t="str">
        <f>FHD_NOTE_P_66</f>
        <v/>
      </c>
      <c r="N109" s="308"/>
      <c r="O109" s="68"/>
      <c r="P109" s="68"/>
      <c r="U109" s="68"/>
      <c r="X109" s="309"/>
      <c r="AD109" s="8"/>
      <c r="AE109" s="8"/>
      <c r="AF109" s="8"/>
      <c r="AG109" s="8"/>
      <c r="AH109" s="8"/>
      <c r="AI109" s="63">
        <v>0</v>
      </c>
    </row>
    <row r="110" spans="1:35" s="63" customFormat="1" ht="13.5" hidden="1" customHeight="1">
      <c r="A110" s="1380"/>
      <c r="C110" s="68"/>
      <c r="D110" s="55"/>
      <c r="E110" s="311" t="str">
        <f>FHD_NUM_P_67</f>
        <v/>
      </c>
      <c r="F110" s="338" t="str">
        <f>FHD_P_67</f>
        <v/>
      </c>
      <c r="G110" s="395" t="s">
        <v>591</v>
      </c>
      <c r="H110" s="339"/>
      <c r="I110" s="339"/>
      <c r="J110" s="339"/>
      <c r="K110" s="339"/>
      <c r="L110" s="339"/>
      <c r="M110" s="67" t="str">
        <f>FHD_NOTE_P_67</f>
        <v/>
      </c>
      <c r="N110" s="308"/>
      <c r="O110" s="68"/>
      <c r="P110" s="68"/>
      <c r="U110" s="68"/>
      <c r="X110" s="309"/>
      <c r="AD110" s="8"/>
      <c r="AE110" s="8"/>
      <c r="AF110" s="8"/>
      <c r="AG110" s="8"/>
      <c r="AH110" s="8"/>
      <c r="AI110" s="63">
        <v>0</v>
      </c>
    </row>
    <row r="111" spans="1:35" s="63" customFormat="1" ht="13.5" hidden="1" customHeight="1">
      <c r="A111" s="1380"/>
      <c r="C111" s="68"/>
      <c r="D111" s="55"/>
      <c r="E111" s="311" t="str">
        <f>FHD_NUM_P_68</f>
        <v/>
      </c>
      <c r="F111" s="323" t="str">
        <f>FHD_P_68</f>
        <v/>
      </c>
      <c r="G111" s="395" t="s">
        <v>591</v>
      </c>
      <c r="H111" s="339"/>
      <c r="I111" s="339"/>
      <c r="J111" s="339"/>
      <c r="K111" s="339"/>
      <c r="L111" s="339"/>
      <c r="M111" s="67" t="str">
        <f>FHD_NOTE_P_68</f>
        <v/>
      </c>
      <c r="N111" s="308"/>
      <c r="O111" s="68"/>
      <c r="P111" s="68"/>
      <c r="U111" s="68"/>
      <c r="X111" s="309"/>
      <c r="AD111" s="8"/>
      <c r="AE111" s="8"/>
      <c r="AF111" s="8"/>
      <c r="AG111" s="8"/>
      <c r="AH111" s="8"/>
      <c r="AI111" s="63">
        <v>0</v>
      </c>
    </row>
    <row r="112" spans="1:35" s="63" customFormat="1" ht="13.5" hidden="1" customHeight="1">
      <c r="A112" s="1380"/>
      <c r="C112" s="68"/>
      <c r="D112" s="55"/>
      <c r="E112" s="311" t="str">
        <f>FHD_NUM_P_69</f>
        <v/>
      </c>
      <c r="F112" s="323" t="str">
        <f>FHD_P_69</f>
        <v/>
      </c>
      <c r="G112" s="395" t="s">
        <v>591</v>
      </c>
      <c r="H112" s="339"/>
      <c r="I112" s="339"/>
      <c r="J112" s="339"/>
      <c r="K112" s="339"/>
      <c r="L112" s="339"/>
      <c r="M112" s="67" t="str">
        <f>FHD_NOTE_P_69</f>
        <v/>
      </c>
      <c r="N112" s="308"/>
      <c r="O112" s="68"/>
      <c r="P112" s="68"/>
      <c r="U112" s="68"/>
      <c r="X112" s="309"/>
      <c r="AD112" s="8"/>
      <c r="AE112" s="8"/>
      <c r="AF112" s="8"/>
      <c r="AG112" s="8"/>
      <c r="AH112" s="8"/>
      <c r="AI112" s="63">
        <v>0</v>
      </c>
    </row>
    <row r="113" spans="1:35" s="63" customFormat="1" ht="24" hidden="1" customHeight="1">
      <c r="A113" s="1380"/>
      <c r="C113" s="68"/>
      <c r="D113" s="55"/>
      <c r="E113" s="311" t="str">
        <f>FHD_NUM_P_70</f>
        <v/>
      </c>
      <c r="F113" s="153" t="str">
        <f>FHD_P_70</f>
        <v/>
      </c>
      <c r="G113" s="395" t="s">
        <v>596</v>
      </c>
      <c r="H113" s="321"/>
      <c r="I113" s="321"/>
      <c r="J113" s="321"/>
      <c r="K113" s="321"/>
      <c r="L113" s="321"/>
      <c r="M113" s="67" t="str">
        <f>FHD_NOTE_P_70</f>
        <v/>
      </c>
      <c r="N113" s="308"/>
      <c r="O113" s="68"/>
      <c r="P113" s="68"/>
      <c r="U113" s="68"/>
      <c r="X113" s="309"/>
      <c r="AD113" s="8"/>
      <c r="AE113" s="8"/>
      <c r="AF113" s="8"/>
      <c r="AG113" s="8"/>
      <c r="AH113" s="8"/>
      <c r="AI113" s="63">
        <v>0</v>
      </c>
    </row>
    <row r="114" spans="1:35" s="63" customFormat="1" ht="24" hidden="1" customHeight="1">
      <c r="A114" s="1380"/>
      <c r="C114" s="68"/>
      <c r="D114" s="55"/>
      <c r="E114" s="311" t="str">
        <f>FHD_NUM_P_71</f>
        <v/>
      </c>
      <c r="F114" s="153" t="str">
        <f>FHD_P_71</f>
        <v/>
      </c>
      <c r="G114" s="395" t="s">
        <v>596</v>
      </c>
      <c r="H114" s="321"/>
      <c r="I114" s="321"/>
      <c r="J114" s="321"/>
      <c r="K114" s="321"/>
      <c r="L114" s="321"/>
      <c r="M114" s="67" t="str">
        <f>FHD_NOTE_P_71</f>
        <v/>
      </c>
      <c r="N114" s="308"/>
      <c r="O114" s="68"/>
      <c r="P114" s="68"/>
      <c r="U114" s="68"/>
      <c r="X114" s="309"/>
      <c r="AD114" s="8"/>
      <c r="AE114" s="8"/>
      <c r="AF114" s="8"/>
      <c r="AG114" s="8"/>
      <c r="AH114" s="8"/>
      <c r="AI114" s="63">
        <v>0</v>
      </c>
    </row>
    <row r="115" spans="1:35" ht="22.5" customHeight="1">
      <c r="D115" s="55"/>
      <c r="E115" s="311" t="str">
        <f>FHD_NUM_P_72</f>
        <v>12</v>
      </c>
      <c r="F115" s="153" t="str">
        <f>FHD_P_72</f>
        <v>Среднесписочная численность основного производственного персонала</v>
      </c>
      <c r="G115" s="395" t="s">
        <v>597</v>
      </c>
      <c r="H115" s="339"/>
      <c r="I115" s="339">
        <v>137.33000000000001</v>
      </c>
      <c r="J115" s="339">
        <v>0</v>
      </c>
      <c r="K115" s="339">
        <v>0</v>
      </c>
      <c r="L115" s="339">
        <v>0</v>
      </c>
      <c r="M115" s="67" t="str">
        <f>FHD_NOTE_P_72</f>
        <v/>
      </c>
      <c r="N115" s="308"/>
      <c r="AI115" s="11">
        <v>19</v>
      </c>
    </row>
    <row r="116" spans="1:35" ht="13.5" hidden="1" customHeight="1">
      <c r="A116" s="574" t="s">
        <v>598</v>
      </c>
      <c r="D116" s="55"/>
      <c r="E116" s="311" t="str">
        <f>FHD_NUM_P_73</f>
        <v/>
      </c>
      <c r="F116" s="153" t="str">
        <f>FHD_P_73</f>
        <v/>
      </c>
      <c r="G116" s="557" t="s">
        <v>597</v>
      </c>
      <c r="H116" s="556"/>
      <c r="I116" s="556"/>
      <c r="J116" s="556"/>
      <c r="K116" s="556"/>
      <c r="L116" s="556"/>
      <c r="M116" s="67" t="str">
        <f>FHD_NOTE_P_73</f>
        <v/>
      </c>
      <c r="N116" s="308"/>
      <c r="AI116" s="11">
        <v>0</v>
      </c>
    </row>
    <row r="117" spans="1:35" ht="35.25" customHeight="1">
      <c r="A117" s="574" t="s">
        <v>599</v>
      </c>
      <c r="D117" s="55"/>
      <c r="E117" s="311" t="str">
        <f>FHD_NUM_P_74</f>
        <v>13</v>
      </c>
      <c r="F117" s="153" t="str">
        <f>FHD_P_74</f>
        <v>Удельный расход электрической энергии на подачу воды в сеть</v>
      </c>
      <c r="G117" s="395" t="s">
        <v>600</v>
      </c>
      <c r="H117" s="339"/>
      <c r="I117" s="339">
        <v>0.83</v>
      </c>
      <c r="J117" s="339">
        <v>0</v>
      </c>
      <c r="K117" s="339">
        <v>0</v>
      </c>
      <c r="L117" s="339">
        <v>0</v>
      </c>
      <c r="M117" s="67" t="str">
        <f>FHD_NOTE_P_74</f>
        <v/>
      </c>
      <c r="N117" s="308"/>
      <c r="AI117" s="11">
        <v>0</v>
      </c>
    </row>
    <row r="118" spans="1:35" s="11" customFormat="1" ht="13.5" customHeight="1">
      <c r="A118" s="1380" t="s">
        <v>601</v>
      </c>
      <c r="B118" s="63"/>
      <c r="C118" s="68"/>
      <c r="D118" s="55"/>
      <c r="E118" s="311" t="str">
        <f>FHD_NUM_P_75</f>
        <v>14</v>
      </c>
      <c r="F118" s="153" t="str">
        <f>FHD_P_75</f>
        <v>Расход воды на собственные нужды, в том числе:</v>
      </c>
      <c r="G118" s="395" t="s">
        <v>562</v>
      </c>
      <c r="H118" s="321"/>
      <c r="I118" s="321">
        <f>(2463.682653+460.194253)/I88*100</f>
        <v>12.841645955119521</v>
      </c>
      <c r="J118" s="321">
        <v>0</v>
      </c>
      <c r="K118" s="321">
        <v>0</v>
      </c>
      <c r="L118" s="321">
        <v>0</v>
      </c>
      <c r="M118" s="67" t="str">
        <f>FHD_NOTE_P_75</f>
        <v>Указывается доля общего расхода воды на собственные нужны от объема отпуска воды потребителям.</v>
      </c>
      <c r="N118" s="308"/>
      <c r="O118" s="68"/>
      <c r="P118" s="68"/>
      <c r="Q118" s="63"/>
      <c r="R118" s="63"/>
      <c r="S118" s="63"/>
      <c r="T118" s="63"/>
      <c r="U118" s="68"/>
      <c r="V118" s="63"/>
      <c r="W118" s="63"/>
      <c r="X118" s="309"/>
      <c r="Y118" s="63"/>
      <c r="Z118" s="63"/>
      <c r="AA118" s="63"/>
      <c r="AB118" s="63"/>
      <c r="AC118" s="63"/>
      <c r="AD118" s="8"/>
      <c r="AE118" s="8"/>
      <c r="AF118" s="8"/>
      <c r="AG118" s="8"/>
      <c r="AH118" s="8"/>
      <c r="AI118" s="11">
        <v>0</v>
      </c>
    </row>
    <row r="119" spans="1:35" s="11" customFormat="1" ht="13.5" customHeight="1">
      <c r="A119" s="1380"/>
      <c r="B119" s="63"/>
      <c r="C119" s="68"/>
      <c r="D119" s="55"/>
      <c r="E119" s="311" t="str">
        <f>FHD_NUM_P_76</f>
        <v>14.1</v>
      </c>
      <c r="F119" s="153" t="str">
        <f>FHD_P_76</f>
        <v>Расход воды на хозяйственно-бытовые нужды</v>
      </c>
      <c r="G119" s="395" t="s">
        <v>562</v>
      </c>
      <c r="H119" s="321"/>
      <c r="I119" s="321">
        <f>460.194253/I88*100</f>
        <v>2.0211697884680717</v>
      </c>
      <c r="J119" s="321">
        <v>0</v>
      </c>
      <c r="K119" s="321">
        <v>0</v>
      </c>
      <c r="L119" s="321">
        <v>0</v>
      </c>
      <c r="M119" s="67" t="str">
        <f>FHD_NOTE_P_76</f>
        <v>Указывается доля расхода воды на хозяйственно-бытовые нужны от объема отпуска воды потребителям.</v>
      </c>
      <c r="N119" s="308"/>
      <c r="O119" s="68"/>
      <c r="P119" s="68"/>
      <c r="Q119" s="63"/>
      <c r="R119" s="63"/>
      <c r="S119" s="63"/>
      <c r="T119" s="63"/>
      <c r="U119" s="68"/>
      <c r="V119" s="63"/>
      <c r="W119" s="63"/>
      <c r="X119" s="309"/>
      <c r="Y119" s="63"/>
      <c r="Z119" s="63"/>
      <c r="AA119" s="63"/>
      <c r="AB119" s="63"/>
      <c r="AC119" s="63"/>
      <c r="AD119" s="8"/>
      <c r="AE119" s="8"/>
      <c r="AF119" s="8"/>
      <c r="AG119" s="8"/>
      <c r="AH119" s="8"/>
      <c r="AI119" s="11">
        <v>0</v>
      </c>
    </row>
    <row r="120" spans="1:35" s="11" customFormat="1" ht="24" customHeight="1">
      <c r="A120" s="1380"/>
      <c r="B120" s="63"/>
      <c r="C120" s="68"/>
      <c r="D120" s="55"/>
      <c r="E120" s="311" t="str">
        <f>FHD_NUM_P_77</f>
        <v>15</v>
      </c>
      <c r="F120" s="153" t="str">
        <f>FHD_P_77</f>
        <v>Показатель использования производственных объектов (по объему перекачки), в том числе:</v>
      </c>
      <c r="G120" s="395" t="s">
        <v>562</v>
      </c>
      <c r="H120" s="321"/>
      <c r="I120" s="321">
        <f>(I122+I123+I124+I125+I126+I127+I128)/7</f>
        <v>67.48571428571428</v>
      </c>
      <c r="J120" s="321">
        <v>0</v>
      </c>
      <c r="K120" s="321">
        <v>0</v>
      </c>
      <c r="L120" s="321">
        <v>0</v>
      </c>
      <c r="M120" s="6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N120" s="308"/>
      <c r="O120" s="68"/>
      <c r="P120" s="68"/>
      <c r="Q120" s="63"/>
      <c r="R120" s="63"/>
      <c r="S120" s="63"/>
      <c r="T120" s="63"/>
      <c r="U120" s="68"/>
      <c r="V120" s="63"/>
      <c r="W120" s="63"/>
      <c r="X120" s="309"/>
      <c r="Y120" s="63"/>
      <c r="Z120" s="63"/>
      <c r="AA120" s="63"/>
      <c r="AB120" s="63"/>
      <c r="AC120" s="63"/>
      <c r="AD120" s="8"/>
      <c r="AE120" s="8"/>
      <c r="AF120" s="8"/>
      <c r="AG120" s="8"/>
      <c r="AH120" s="8"/>
      <c r="AI120" s="11">
        <v>0</v>
      </c>
    </row>
    <row r="121" spans="1:35" s="68" customFormat="1" ht="0.75" customHeight="1">
      <c r="A121" s="1380"/>
      <c r="D121" s="313"/>
      <c r="E121" s="316" t="str">
        <f>E120&amp;".0"</f>
        <v>15.0</v>
      </c>
      <c r="F121" s="582"/>
      <c r="G121" s="895"/>
      <c r="H121" s="577"/>
      <c r="I121" s="577"/>
      <c r="J121" s="577"/>
      <c r="K121" s="577"/>
      <c r="L121" s="577"/>
      <c r="M121" s="581"/>
      <c r="AI121" s="68">
        <v>0</v>
      </c>
    </row>
    <row r="122" spans="1:35" ht="22.5" customHeight="1">
      <c r="A122" s="1382"/>
      <c r="D122" s="87" t="s">
        <v>122</v>
      </c>
      <c r="E122" s="311" t="str">
        <f>E120&amp;".1"</f>
        <v>15.1</v>
      </c>
      <c r="F122" s="305" t="s">
        <v>602</v>
      </c>
      <c r="G122" s="395" t="s">
        <v>562</v>
      </c>
      <c r="H122" s="310"/>
      <c r="I122" s="310">
        <v>83.06</v>
      </c>
      <c r="J122" s="310">
        <v>0</v>
      </c>
      <c r="K122" s="310">
        <v>0</v>
      </c>
      <c r="L122" s="310">
        <v>0</v>
      </c>
      <c r="M122" s="433" t="s">
        <v>563</v>
      </c>
      <c r="N122" s="308"/>
      <c r="AI122" s="11">
        <v>0</v>
      </c>
    </row>
    <row r="123" spans="1:35" ht="22.5" customHeight="1">
      <c r="A123" s="1382"/>
      <c r="D123" s="87" t="s">
        <v>122</v>
      </c>
      <c r="E123" s="311" t="str">
        <f>E120&amp;".2"</f>
        <v>15.2</v>
      </c>
      <c r="F123" s="305" t="s">
        <v>603</v>
      </c>
      <c r="G123" s="395" t="s">
        <v>562</v>
      </c>
      <c r="H123" s="310"/>
      <c r="I123" s="310">
        <v>80.06</v>
      </c>
      <c r="J123" s="310">
        <v>0</v>
      </c>
      <c r="K123" s="310">
        <v>0</v>
      </c>
      <c r="L123" s="310">
        <v>0</v>
      </c>
      <c r="M123" s="433" t="s">
        <v>563</v>
      </c>
      <c r="N123" s="308"/>
      <c r="AI123" s="11">
        <v>0</v>
      </c>
    </row>
    <row r="124" spans="1:35" ht="22.5" customHeight="1">
      <c r="A124" s="1382"/>
      <c r="D124" s="87" t="s">
        <v>122</v>
      </c>
      <c r="E124" s="311" t="str">
        <f>E120&amp;".3"</f>
        <v>15.3</v>
      </c>
      <c r="F124" s="305" t="s">
        <v>604</v>
      </c>
      <c r="G124" s="395" t="s">
        <v>562</v>
      </c>
      <c r="H124" s="310"/>
      <c r="I124" s="310">
        <v>85.14</v>
      </c>
      <c r="J124" s="310">
        <v>0</v>
      </c>
      <c r="K124" s="310">
        <v>0</v>
      </c>
      <c r="L124" s="310">
        <v>0</v>
      </c>
      <c r="M124" s="433" t="s">
        <v>563</v>
      </c>
      <c r="N124" s="308"/>
      <c r="AI124" s="11">
        <v>0</v>
      </c>
    </row>
    <row r="125" spans="1:35" ht="22.5" customHeight="1">
      <c r="A125" s="1382"/>
      <c r="D125" s="87" t="s">
        <v>122</v>
      </c>
      <c r="E125" s="311" t="str">
        <f>E120&amp;".4"</f>
        <v>15.4</v>
      </c>
      <c r="F125" s="305" t="s">
        <v>605</v>
      </c>
      <c r="G125" s="395" t="s">
        <v>562</v>
      </c>
      <c r="H125" s="310"/>
      <c r="I125" s="310">
        <v>76.56</v>
      </c>
      <c r="J125" s="310">
        <v>0</v>
      </c>
      <c r="K125" s="310">
        <v>0</v>
      </c>
      <c r="L125" s="310">
        <v>0</v>
      </c>
      <c r="M125" s="433" t="s">
        <v>563</v>
      </c>
      <c r="N125" s="308"/>
      <c r="AI125" s="11">
        <v>0</v>
      </c>
    </row>
    <row r="126" spans="1:35" ht="22.5" customHeight="1">
      <c r="A126" s="1382"/>
      <c r="D126" s="87" t="s">
        <v>122</v>
      </c>
      <c r="E126" s="311" t="str">
        <f>E120&amp;".5"</f>
        <v>15.5</v>
      </c>
      <c r="F126" s="305" t="s">
        <v>606</v>
      </c>
      <c r="G126" s="395" t="s">
        <v>562</v>
      </c>
      <c r="H126" s="310"/>
      <c r="I126" s="310">
        <v>56.47</v>
      </c>
      <c r="J126" s="310">
        <v>0</v>
      </c>
      <c r="K126" s="310">
        <v>0</v>
      </c>
      <c r="L126" s="310">
        <v>0</v>
      </c>
      <c r="M126" s="433" t="s">
        <v>563</v>
      </c>
      <c r="N126" s="308"/>
      <c r="AI126" s="11">
        <v>0</v>
      </c>
    </row>
    <row r="127" spans="1:35" ht="22.5" customHeight="1">
      <c r="A127" s="1382"/>
      <c r="D127" s="87" t="s">
        <v>122</v>
      </c>
      <c r="E127" s="311" t="str">
        <f>E120&amp;".6"</f>
        <v>15.6</v>
      </c>
      <c r="F127" s="305" t="s">
        <v>607</v>
      </c>
      <c r="G127" s="395" t="s">
        <v>562</v>
      </c>
      <c r="H127" s="310"/>
      <c r="I127" s="310">
        <v>31.38</v>
      </c>
      <c r="J127" s="310">
        <v>0</v>
      </c>
      <c r="K127" s="310">
        <v>0</v>
      </c>
      <c r="L127" s="310">
        <v>0</v>
      </c>
      <c r="M127" s="433" t="s">
        <v>563</v>
      </c>
      <c r="N127" s="308"/>
      <c r="AI127" s="11">
        <v>0</v>
      </c>
    </row>
    <row r="128" spans="1:35" ht="22.5" customHeight="1">
      <c r="A128" s="1382"/>
      <c r="D128" s="87" t="s">
        <v>122</v>
      </c>
      <c r="E128" s="311" t="str">
        <f>E120&amp;".7"</f>
        <v>15.7</v>
      </c>
      <c r="F128" s="305" t="s">
        <v>608</v>
      </c>
      <c r="G128" s="395" t="s">
        <v>562</v>
      </c>
      <c r="H128" s="310"/>
      <c r="I128" s="310">
        <v>59.73</v>
      </c>
      <c r="J128" s="310">
        <v>0</v>
      </c>
      <c r="K128" s="310">
        <v>0</v>
      </c>
      <c r="L128" s="310">
        <v>0</v>
      </c>
      <c r="M128" s="433" t="s">
        <v>563</v>
      </c>
      <c r="N128" s="308"/>
      <c r="AI128" s="11">
        <v>0</v>
      </c>
    </row>
    <row r="129" spans="1:35" s="11" customFormat="1" ht="15" customHeight="1">
      <c r="A129" s="1380"/>
      <c r="B129" s="63"/>
      <c r="C129" s="68"/>
      <c r="D129" s="77"/>
      <c r="E129" s="558"/>
      <c r="F129" s="559" t="s">
        <v>609</v>
      </c>
      <c r="G129" s="334"/>
      <c r="H129" s="335"/>
      <c r="I129" s="335"/>
      <c r="J129" s="335"/>
      <c r="K129" s="335"/>
      <c r="L129" s="335"/>
      <c r="M129" s="199" t="s">
        <v>610</v>
      </c>
      <c r="N129" s="308"/>
      <c r="O129" s="68"/>
      <c r="P129" s="68"/>
      <c r="Q129" s="63"/>
      <c r="R129" s="63"/>
      <c r="S129" s="63"/>
      <c r="T129" s="63"/>
      <c r="U129" s="68"/>
      <c r="V129" s="63"/>
      <c r="W129" s="63"/>
      <c r="X129" s="309"/>
      <c r="Y129" s="63"/>
      <c r="Z129" s="63"/>
      <c r="AA129" s="63"/>
      <c r="AB129" s="63"/>
      <c r="AC129" s="63"/>
      <c r="AD129" s="8"/>
      <c r="AE129" s="8"/>
      <c r="AF129" s="8"/>
      <c r="AG129" s="8"/>
      <c r="AH129" s="8"/>
      <c r="AI129" s="11">
        <v>0</v>
      </c>
    </row>
    <row r="130" spans="1:35" ht="22.5" hidden="1" customHeight="1">
      <c r="A130" s="1380" t="s">
        <v>611</v>
      </c>
      <c r="D130" s="55"/>
      <c r="E130" s="311" t="str">
        <f>FHD_NUM_P_78</f>
        <v/>
      </c>
      <c r="F130" s="153" t="str">
        <f>FHD_P_78</f>
        <v/>
      </c>
      <c r="G130" s="395" t="s">
        <v>564</v>
      </c>
      <c r="H130" s="339"/>
      <c r="I130" s="339"/>
      <c r="J130" s="339"/>
      <c r="K130" s="339"/>
      <c r="L130" s="339"/>
      <c r="M130" s="67" t="str">
        <f>FHD_NOTE_P_78</f>
        <v/>
      </c>
      <c r="N130" s="308"/>
      <c r="AI130" s="11">
        <v>0</v>
      </c>
    </row>
    <row r="131" spans="1:35" s="68" customFormat="1" ht="0.75" hidden="1" customHeight="1">
      <c r="A131" s="1380"/>
      <c r="D131" s="313"/>
      <c r="E131" s="316" t="str">
        <f>E130&amp;".0"</f>
        <v>.0</v>
      </c>
      <c r="F131" s="582"/>
      <c r="G131" s="895"/>
      <c r="H131" s="577"/>
      <c r="I131" s="577"/>
      <c r="J131" s="577"/>
      <c r="K131" s="577"/>
      <c r="L131" s="577"/>
      <c r="M131" s="581"/>
      <c r="AI131" s="68">
        <v>0</v>
      </c>
    </row>
    <row r="132" spans="1:35" ht="15" hidden="1" customHeight="1">
      <c r="A132" s="1380"/>
      <c r="D132" s="77"/>
      <c r="E132" s="333"/>
      <c r="F132" s="110" t="s">
        <v>594</v>
      </c>
      <c r="G132" s="334"/>
      <c r="H132" s="335"/>
      <c r="I132" s="335"/>
      <c r="J132" s="335"/>
      <c r="K132" s="335"/>
      <c r="L132" s="335"/>
      <c r="M132" s="199" t="s">
        <v>612</v>
      </c>
      <c r="N132" s="308"/>
      <c r="AI132" s="11">
        <v>0</v>
      </c>
    </row>
    <row r="133" spans="1:35" ht="22.5" hidden="1" customHeight="1">
      <c r="A133" s="1380"/>
      <c r="D133" s="55"/>
      <c r="E133" s="311" t="str">
        <f>FHD_NUM_P_79</f>
        <v/>
      </c>
      <c r="F133" s="153" t="str">
        <f>FHD_P_79</f>
        <v/>
      </c>
      <c r="G133" s="41" t="s">
        <v>566</v>
      </c>
      <c r="H133" s="339"/>
      <c r="I133" s="339"/>
      <c r="J133" s="339"/>
      <c r="K133" s="339"/>
      <c r="L133" s="339"/>
      <c r="M133" s="67" t="str">
        <f>FHD_NOTE_P_79</f>
        <v/>
      </c>
      <c r="N133" s="308"/>
      <c r="AI133" s="11">
        <v>0</v>
      </c>
    </row>
    <row r="134" spans="1:35" s="68" customFormat="1" ht="0.75" hidden="1" customHeight="1">
      <c r="A134" s="1380"/>
      <c r="D134" s="313"/>
      <c r="E134" s="316" t="str">
        <f>E133&amp;".0"</f>
        <v>.0</v>
      </c>
      <c r="F134" s="583"/>
      <c r="G134" s="895"/>
      <c r="H134" s="577"/>
      <c r="I134" s="577"/>
      <c r="J134" s="577"/>
      <c r="K134" s="577"/>
      <c r="L134" s="577"/>
      <c r="M134" s="581"/>
      <c r="AI134" s="68">
        <v>0</v>
      </c>
    </row>
    <row r="135" spans="1:35" ht="15" hidden="1" customHeight="1">
      <c r="A135" s="1380"/>
      <c r="D135" s="77"/>
      <c r="E135" s="333"/>
      <c r="F135" s="110" t="s">
        <v>594</v>
      </c>
      <c r="G135" s="334"/>
      <c r="H135" s="335"/>
      <c r="I135" s="335"/>
      <c r="J135" s="335"/>
      <c r="K135" s="335"/>
      <c r="L135" s="335"/>
      <c r="M135" s="199" t="s">
        <v>613</v>
      </c>
      <c r="N135" s="308"/>
      <c r="AI135" s="11">
        <v>0</v>
      </c>
    </row>
    <row r="136" spans="1:35" ht="22.5" hidden="1" customHeight="1">
      <c r="A136" s="1380"/>
      <c r="D136" s="55"/>
      <c r="E136" s="311" t="str">
        <f>FHD_NUM_P_80</f>
        <v/>
      </c>
      <c r="F136" s="153" t="str">
        <f>FHD_P_80</f>
        <v/>
      </c>
      <c r="G136" s="41" t="s">
        <v>614</v>
      </c>
      <c r="H136" s="321"/>
      <c r="I136" s="321"/>
      <c r="J136" s="321"/>
      <c r="K136" s="321"/>
      <c r="L136" s="321"/>
      <c r="M136" s="67" t="str">
        <f>FHD_NOTE_P_80</f>
        <v/>
      </c>
      <c r="N136" s="308"/>
      <c r="AI136" s="11">
        <v>0</v>
      </c>
    </row>
    <row r="137" spans="1:35" ht="18.75" hidden="1" customHeight="1">
      <c r="A137" s="1380"/>
      <c r="D137" s="55"/>
      <c r="E137" s="311" t="str">
        <f>FHD_NUM_P_81</f>
        <v/>
      </c>
      <c r="F137" s="153" t="str">
        <f>FHD_P_81</f>
        <v/>
      </c>
      <c r="G137" s="41" t="s">
        <v>615</v>
      </c>
      <c r="H137" s="321"/>
      <c r="I137" s="321"/>
      <c r="J137" s="321"/>
      <c r="K137" s="321"/>
      <c r="L137" s="321"/>
      <c r="M137" s="67" t="str">
        <f>FHD_NOTE_P_81</f>
        <v/>
      </c>
      <c r="N137" s="308"/>
      <c r="AI137" s="11">
        <v>0</v>
      </c>
    </row>
    <row r="138" spans="1:35" ht="18.75" hidden="1" customHeight="1">
      <c r="A138" s="1380"/>
      <c r="C138" s="68" t="s">
        <v>587</v>
      </c>
      <c r="D138" s="55"/>
      <c r="E138" s="311" t="str">
        <f>FHD_NUM_P_82</f>
        <v/>
      </c>
      <c r="F138" s="153" t="str">
        <f>FHD_P_82</f>
        <v/>
      </c>
      <c r="G138" s="41" t="s">
        <v>312</v>
      </c>
      <c r="H138" s="228"/>
      <c r="I138" s="228"/>
      <c r="J138" s="228"/>
      <c r="K138" s="228"/>
      <c r="L138" s="228"/>
      <c r="M138" s="67" t="str">
        <f>FHD_NOTE_P_82</f>
        <v/>
      </c>
      <c r="N138" s="308"/>
      <c r="AI138" s="11">
        <v>0</v>
      </c>
    </row>
    <row r="139" spans="1:35" ht="18.75" hidden="1" customHeight="1">
      <c r="A139" s="1380"/>
      <c r="C139" s="68" t="s">
        <v>587</v>
      </c>
      <c r="D139" s="55"/>
      <c r="E139" s="311" t="str">
        <f>FHD_NUM_P_83</f>
        <v/>
      </c>
      <c r="F139" s="323" t="str">
        <f>FHD_P_83</f>
        <v/>
      </c>
      <c r="G139" s="41" t="s">
        <v>312</v>
      </c>
      <c r="H139" s="228"/>
      <c r="I139" s="228"/>
      <c r="J139" s="228"/>
      <c r="K139" s="228"/>
      <c r="L139" s="228"/>
      <c r="M139" s="67" t="str">
        <f>FHD_NOTE_P_83</f>
        <v/>
      </c>
      <c r="N139" s="308"/>
      <c r="AI139" s="11">
        <v>0</v>
      </c>
    </row>
    <row r="140" spans="1:35" ht="18.75" hidden="1" customHeight="1">
      <c r="A140" s="1380"/>
      <c r="C140" s="68" t="s">
        <v>587</v>
      </c>
      <c r="D140" s="55"/>
      <c r="E140" s="311" t="str">
        <f>FHD_NUM_P_84</f>
        <v/>
      </c>
      <c r="F140" s="323" t="str">
        <f>FHD_P_84</f>
        <v/>
      </c>
      <c r="G140" s="41" t="s">
        <v>312</v>
      </c>
      <c r="H140" s="228"/>
      <c r="I140" s="228"/>
      <c r="J140" s="228"/>
      <c r="K140" s="228"/>
      <c r="L140" s="228"/>
      <c r="M140" s="67" t="str">
        <f>FHD_NOTE_P_84</f>
        <v/>
      </c>
      <c r="N140" s="308"/>
      <c r="AI140" s="11">
        <v>0</v>
      </c>
    </row>
    <row r="141" spans="1:35" ht="11.45" customHeight="1">
      <c r="D141" s="55"/>
      <c r="AI141" s="11">
        <v>11</v>
      </c>
    </row>
    <row r="142" spans="1:35" ht="13.5" customHeight="1">
      <c r="D142" s="55"/>
      <c r="E142" s="198"/>
      <c r="F142" s="4"/>
      <c r="G142" s="4"/>
      <c r="H142" s="4"/>
      <c r="I142" s="373"/>
      <c r="J142" s="4"/>
      <c r="K142" s="4"/>
      <c r="L142" s="4"/>
      <c r="M142" s="342"/>
      <c r="AI142" s="11">
        <v>13</v>
      </c>
    </row>
    <row r="143" spans="1:35" s="203" customFormat="1" ht="11.45" customHeight="1">
      <c r="A143" s="572"/>
      <c r="B143" s="68"/>
      <c r="C143" s="68"/>
      <c r="F143" s="125"/>
      <c r="G143" s="11"/>
      <c r="H143" s="11"/>
      <c r="I143" s="11"/>
      <c r="J143" s="11"/>
      <c r="K143" s="11"/>
      <c r="L143" s="11"/>
      <c r="N143" s="63"/>
      <c r="O143" s="68"/>
      <c r="P143" s="68"/>
      <c r="Q143" s="63"/>
      <c r="R143" s="63"/>
      <c r="S143" s="63"/>
      <c r="T143" s="63"/>
      <c r="U143" s="68"/>
      <c r="V143" s="63"/>
      <c r="W143" s="63"/>
      <c r="X143" s="309"/>
      <c r="Y143" s="63"/>
      <c r="Z143" s="63"/>
      <c r="AA143" s="63"/>
      <c r="AB143" s="63"/>
      <c r="AC143" s="63"/>
      <c r="AD143" s="8"/>
      <c r="AE143" s="142"/>
      <c r="AF143" s="142"/>
      <c r="AG143" s="142"/>
      <c r="AH143" s="142"/>
      <c r="AI143" s="203">
        <v>11</v>
      </c>
    </row>
    <row r="144" spans="1:35" s="203" customFormat="1" ht="11.45" customHeight="1">
      <c r="A144" s="572"/>
      <c r="B144" s="68"/>
      <c r="C144" s="68"/>
      <c r="N144" s="63"/>
      <c r="O144" s="68"/>
      <c r="P144" s="68"/>
      <c r="Q144" s="63"/>
      <c r="R144" s="63"/>
      <c r="S144" s="63"/>
      <c r="T144" s="63"/>
      <c r="U144" s="68"/>
      <c r="V144" s="63"/>
      <c r="W144" s="63"/>
      <c r="X144" s="309"/>
      <c r="Y144" s="63"/>
      <c r="Z144" s="63"/>
      <c r="AA144" s="63"/>
      <c r="AB144" s="63"/>
      <c r="AC144" s="63"/>
      <c r="AD144" s="8"/>
      <c r="AE144" s="142"/>
      <c r="AF144" s="142"/>
      <c r="AG144" s="142"/>
      <c r="AH144" s="142"/>
      <c r="AI144" s="203">
        <v>11</v>
      </c>
    </row>
    <row r="145" spans="1:35" s="203" customFormat="1" ht="11.45" customHeight="1">
      <c r="A145" s="572"/>
      <c r="B145" s="68"/>
      <c r="C145" s="68"/>
      <c r="N145" s="63"/>
      <c r="O145" s="68"/>
      <c r="P145" s="68"/>
      <c r="Q145" s="63"/>
      <c r="R145" s="63"/>
      <c r="S145" s="63"/>
      <c r="T145" s="63"/>
      <c r="U145" s="68"/>
      <c r="V145" s="63"/>
      <c r="W145" s="63"/>
      <c r="X145" s="309"/>
      <c r="Y145" s="63"/>
      <c r="Z145" s="63"/>
      <c r="AA145" s="63"/>
      <c r="AB145" s="63"/>
      <c r="AC145" s="63"/>
      <c r="AD145" s="8"/>
      <c r="AE145" s="142"/>
      <c r="AF145" s="142"/>
      <c r="AG145" s="142"/>
      <c r="AH145" s="142"/>
      <c r="AI145" s="203">
        <v>11</v>
      </c>
    </row>
    <row r="146" spans="1:35" s="203" customFormat="1" ht="11.45" customHeight="1">
      <c r="A146" s="572"/>
      <c r="B146" s="68"/>
      <c r="C146" s="68"/>
      <c r="H146" s="142" t="str">
        <f>IF(H30-H31&lt;&gt;H75,"WARNING","")</f>
        <v/>
      </c>
      <c r="I146" s="142" t="str">
        <f>IF(I30-I31&lt;&gt;I75,"WARNING","")</f>
        <v>WARNING</v>
      </c>
      <c r="J146" s="142" t="str">
        <f>IF(J30-J31&lt;&gt;J75,"WARNING","")</f>
        <v>WARNING</v>
      </c>
      <c r="K146" s="142" t="str">
        <f>IF(K30-K31&lt;&gt;K75,"WARNING","")</f>
        <v>WARNING</v>
      </c>
      <c r="L146" s="142" t="str">
        <f>IF(L30-L31&lt;&gt;L75,"WARNING","")</f>
        <v>WARNING</v>
      </c>
      <c r="N146" s="63"/>
      <c r="O146" s="68"/>
      <c r="P146" s="68"/>
      <c r="Q146" s="63"/>
      <c r="R146" s="63"/>
      <c r="S146" s="63"/>
      <c r="T146" s="63"/>
      <c r="U146" s="68"/>
      <c r="V146" s="63"/>
      <c r="W146" s="63"/>
      <c r="X146" s="309"/>
      <c r="Y146" s="63"/>
      <c r="Z146" s="63"/>
      <c r="AA146" s="63"/>
      <c r="AB146" s="63"/>
      <c r="AC146" s="63"/>
      <c r="AD146" s="8"/>
      <c r="AE146" s="142"/>
      <c r="AF146" s="142"/>
      <c r="AG146" s="142"/>
      <c r="AH146" s="142"/>
      <c r="AI146" s="203">
        <v>11</v>
      </c>
    </row>
    <row r="147" spans="1:35" s="203" customFormat="1" ht="11.45" customHeight="1">
      <c r="A147" s="572"/>
      <c r="B147" s="68"/>
      <c r="C147" s="68"/>
      <c r="N147" s="63"/>
      <c r="O147" s="68"/>
      <c r="P147" s="68"/>
      <c r="Q147" s="63"/>
      <c r="R147" s="63"/>
      <c r="S147" s="63"/>
      <c r="T147" s="63"/>
      <c r="U147" s="68"/>
      <c r="V147" s="63"/>
      <c r="W147" s="63"/>
      <c r="X147" s="309"/>
      <c r="Y147" s="63"/>
      <c r="Z147" s="63"/>
      <c r="AA147" s="63"/>
      <c r="AB147" s="63"/>
      <c r="AC147" s="63"/>
      <c r="AD147" s="8"/>
      <c r="AE147" s="142"/>
      <c r="AF147" s="142"/>
      <c r="AG147" s="142"/>
      <c r="AH147" s="142"/>
      <c r="AI147" s="203">
        <v>11</v>
      </c>
    </row>
    <row r="148" spans="1:35" s="203" customFormat="1" ht="11.45" customHeight="1">
      <c r="A148" s="572"/>
      <c r="B148" s="68"/>
      <c r="C148" s="68"/>
      <c r="N148" s="63"/>
      <c r="O148" s="68"/>
      <c r="P148" s="68"/>
      <c r="Q148" s="63"/>
      <c r="R148" s="63"/>
      <c r="S148" s="63"/>
      <c r="T148" s="63"/>
      <c r="U148" s="68"/>
      <c r="V148" s="63"/>
      <c r="W148" s="63"/>
      <c r="X148" s="309"/>
      <c r="Y148" s="63"/>
      <c r="Z148" s="63"/>
      <c r="AA148" s="63"/>
      <c r="AB148" s="63"/>
      <c r="AC148" s="63"/>
      <c r="AD148" s="8"/>
      <c r="AE148" s="142"/>
      <c r="AF148" s="142"/>
      <c r="AG148" s="142"/>
      <c r="AH148" s="142"/>
      <c r="AI148" s="203">
        <v>11</v>
      </c>
    </row>
    <row r="149" spans="1:35" s="203" customFormat="1" ht="11.45" customHeight="1">
      <c r="A149" s="572"/>
      <c r="B149" s="68"/>
      <c r="C149" s="68"/>
      <c r="N149" s="63"/>
      <c r="O149" s="68"/>
      <c r="P149" s="68"/>
      <c r="Q149" s="63"/>
      <c r="R149" s="63"/>
      <c r="S149" s="63"/>
      <c r="T149" s="63"/>
      <c r="U149" s="68"/>
      <c r="V149" s="63"/>
      <c r="W149" s="63"/>
      <c r="X149" s="309"/>
      <c r="Y149" s="63"/>
      <c r="Z149" s="63"/>
      <c r="AA149" s="63"/>
      <c r="AB149" s="63"/>
      <c r="AC149" s="63"/>
      <c r="AD149" s="8"/>
      <c r="AE149" s="142"/>
      <c r="AF149" s="142"/>
      <c r="AG149" s="142"/>
      <c r="AH149" s="142"/>
      <c r="AI149" s="203">
        <v>11</v>
      </c>
    </row>
    <row r="150" spans="1:35" s="203" customFormat="1" ht="11.45" customHeight="1">
      <c r="A150" s="572"/>
      <c r="B150" s="68"/>
      <c r="C150" s="68"/>
      <c r="N150" s="63"/>
      <c r="O150" s="68"/>
      <c r="P150" s="68"/>
      <c r="Q150" s="63"/>
      <c r="R150" s="63"/>
      <c r="S150" s="63"/>
      <c r="T150" s="63"/>
      <c r="U150" s="68"/>
      <c r="V150" s="63"/>
      <c r="W150" s="63"/>
      <c r="X150" s="309"/>
      <c r="Y150" s="63"/>
      <c r="Z150" s="63"/>
      <c r="AA150" s="63"/>
      <c r="AB150" s="63"/>
      <c r="AC150" s="63"/>
      <c r="AD150" s="8"/>
      <c r="AE150" s="142"/>
      <c r="AF150" s="142"/>
      <c r="AG150" s="142"/>
      <c r="AH150" s="142"/>
      <c r="AI150" s="203">
        <v>11</v>
      </c>
    </row>
    <row r="151" spans="1:35" s="203" customFormat="1" ht="11.45" customHeight="1">
      <c r="A151" s="572"/>
      <c r="B151" s="68"/>
      <c r="C151" s="68"/>
      <c r="N151" s="63"/>
      <c r="O151" s="68"/>
      <c r="P151" s="68"/>
      <c r="Q151" s="63"/>
      <c r="R151" s="63"/>
      <c r="S151" s="63"/>
      <c r="T151" s="63"/>
      <c r="U151" s="68"/>
      <c r="V151" s="63"/>
      <c r="W151" s="63"/>
      <c r="X151" s="309"/>
      <c r="Y151" s="63"/>
      <c r="Z151" s="63"/>
      <c r="AA151" s="63"/>
      <c r="AB151" s="63"/>
      <c r="AC151" s="63"/>
      <c r="AD151" s="8"/>
      <c r="AE151" s="142"/>
      <c r="AF151" s="142"/>
      <c r="AG151" s="142"/>
      <c r="AH151" s="142"/>
      <c r="AI151" s="203">
        <v>11</v>
      </c>
    </row>
    <row r="152" spans="1:35" s="203" customFormat="1" ht="11.45" customHeight="1">
      <c r="A152" s="572"/>
      <c r="B152" s="68"/>
      <c r="C152" s="68"/>
      <c r="N152" s="63"/>
      <c r="O152" s="68"/>
      <c r="P152" s="68"/>
      <c r="Q152" s="63"/>
      <c r="R152" s="63"/>
      <c r="S152" s="63"/>
      <c r="T152" s="63"/>
      <c r="U152" s="68"/>
      <c r="V152" s="63"/>
      <c r="W152" s="63"/>
      <c r="X152" s="309"/>
      <c r="Y152" s="63"/>
      <c r="Z152" s="63"/>
      <c r="AA152" s="63"/>
      <c r="AB152" s="63"/>
      <c r="AC152" s="63"/>
      <c r="AD152" s="8"/>
      <c r="AE152" s="142"/>
      <c r="AF152" s="142"/>
      <c r="AG152" s="142"/>
      <c r="AH152" s="142"/>
      <c r="AI152" s="203">
        <v>11</v>
      </c>
    </row>
    <row r="153" spans="1:35" s="203" customFormat="1" ht="11.45" customHeight="1">
      <c r="A153" s="572"/>
      <c r="B153" s="68"/>
      <c r="C153" s="68"/>
      <c r="N153" s="63"/>
      <c r="O153" s="68"/>
      <c r="P153" s="68"/>
      <c r="Q153" s="63"/>
      <c r="R153" s="63"/>
      <c r="S153" s="63"/>
      <c r="T153" s="63"/>
      <c r="U153" s="68"/>
      <c r="V153" s="63"/>
      <c r="W153" s="63"/>
      <c r="X153" s="309"/>
      <c r="Y153" s="63"/>
      <c r="Z153" s="63"/>
      <c r="AA153" s="63"/>
      <c r="AB153" s="63"/>
      <c r="AC153" s="63"/>
      <c r="AD153" s="8"/>
      <c r="AE153" s="142"/>
      <c r="AF153" s="142"/>
      <c r="AG153" s="142"/>
      <c r="AH153" s="142"/>
      <c r="AI153" s="203">
        <v>11</v>
      </c>
    </row>
    <row r="154" spans="1:35" s="203" customFormat="1" ht="11.45" customHeight="1">
      <c r="A154" s="572"/>
      <c r="B154" s="68"/>
      <c r="C154" s="68"/>
      <c r="N154" s="63"/>
      <c r="O154" s="68"/>
      <c r="P154" s="68"/>
      <c r="Q154" s="63"/>
      <c r="R154" s="63"/>
      <c r="S154" s="63"/>
      <c r="T154" s="63"/>
      <c r="U154" s="68"/>
      <c r="V154" s="63"/>
      <c r="W154" s="63"/>
      <c r="X154" s="309"/>
      <c r="Y154" s="63"/>
      <c r="Z154" s="63"/>
      <c r="AA154" s="63"/>
      <c r="AB154" s="63"/>
      <c r="AC154" s="63"/>
      <c r="AD154" s="8"/>
      <c r="AE154" s="142"/>
      <c r="AF154" s="142"/>
      <c r="AG154" s="142"/>
      <c r="AH154" s="142"/>
      <c r="AI154" s="203">
        <v>11</v>
      </c>
    </row>
    <row r="155" spans="1:35" s="203" customFormat="1" ht="11.45" customHeight="1">
      <c r="A155" s="572"/>
      <c r="B155" s="68"/>
      <c r="C155" s="68"/>
      <c r="N155" s="63"/>
      <c r="O155" s="68"/>
      <c r="P155" s="68"/>
      <c r="Q155" s="63"/>
      <c r="R155" s="63"/>
      <c r="S155" s="63"/>
      <c r="T155" s="63"/>
      <c r="U155" s="68"/>
      <c r="V155" s="63"/>
      <c r="W155" s="63"/>
      <c r="X155" s="309"/>
      <c r="Y155" s="63"/>
      <c r="Z155" s="63"/>
      <c r="AA155" s="63"/>
      <c r="AB155" s="63"/>
      <c r="AC155" s="63"/>
      <c r="AD155" s="8"/>
      <c r="AE155" s="142"/>
      <c r="AF155" s="142"/>
      <c r="AG155" s="142"/>
      <c r="AH155" s="142"/>
      <c r="AI155" s="203">
        <v>11</v>
      </c>
    </row>
    <row r="156" spans="1:35" s="203" customFormat="1" ht="11.45" customHeight="1">
      <c r="A156" s="572"/>
      <c r="B156" s="68"/>
      <c r="C156" s="68"/>
      <c r="N156" s="63"/>
      <c r="O156" s="68"/>
      <c r="P156" s="68"/>
      <c r="Q156" s="63"/>
      <c r="R156" s="63"/>
      <c r="S156" s="63"/>
      <c r="T156" s="63"/>
      <c r="U156" s="68"/>
      <c r="V156" s="63"/>
      <c r="W156" s="63"/>
      <c r="X156" s="309"/>
      <c r="Y156" s="63"/>
      <c r="Z156" s="63"/>
      <c r="AA156" s="63"/>
      <c r="AB156" s="63"/>
      <c r="AC156" s="63"/>
      <c r="AD156" s="8"/>
      <c r="AE156" s="142"/>
      <c r="AF156" s="142"/>
      <c r="AG156" s="142"/>
      <c r="AH156" s="142"/>
      <c r="AI156" s="203">
        <v>11</v>
      </c>
    </row>
    <row r="157" spans="1:35" s="203" customFormat="1" ht="11.45" customHeight="1">
      <c r="A157" s="572"/>
      <c r="B157" s="68"/>
      <c r="C157" s="68"/>
      <c r="N157" s="63"/>
      <c r="O157" s="68"/>
      <c r="P157" s="68"/>
      <c r="Q157" s="63"/>
      <c r="R157" s="63"/>
      <c r="S157" s="63"/>
      <c r="T157" s="63"/>
      <c r="U157" s="68"/>
      <c r="V157" s="63"/>
      <c r="W157" s="63"/>
      <c r="X157" s="309"/>
      <c r="Y157" s="63"/>
      <c r="Z157" s="63"/>
      <c r="AA157" s="63"/>
      <c r="AB157" s="63"/>
      <c r="AC157" s="63"/>
      <c r="AD157" s="8"/>
      <c r="AE157" s="142"/>
      <c r="AF157" s="142"/>
      <c r="AG157" s="142"/>
      <c r="AH157" s="142"/>
      <c r="AI157" s="203">
        <v>11</v>
      </c>
    </row>
    <row r="158" spans="1:35" s="203" customFormat="1" ht="11.45" customHeight="1">
      <c r="A158" s="572"/>
      <c r="B158" s="68"/>
      <c r="C158" s="68"/>
      <c r="N158" s="63"/>
      <c r="O158" s="68"/>
      <c r="P158" s="68"/>
      <c r="Q158" s="63"/>
      <c r="R158" s="63"/>
      <c r="S158" s="63"/>
      <c r="T158" s="63"/>
      <c r="U158" s="68"/>
      <c r="V158" s="63"/>
      <c r="W158" s="63"/>
      <c r="X158" s="309"/>
      <c r="Y158" s="63"/>
      <c r="Z158" s="63"/>
      <c r="AA158" s="63"/>
      <c r="AB158" s="63"/>
      <c r="AC158" s="63"/>
      <c r="AD158" s="8"/>
      <c r="AE158" s="142"/>
      <c r="AF158" s="142"/>
      <c r="AG158" s="142"/>
      <c r="AH158" s="142"/>
      <c r="AI158" s="203">
        <v>11</v>
      </c>
    </row>
    <row r="159" spans="1:35" s="203" customFormat="1" ht="11.45" customHeight="1">
      <c r="A159" s="572"/>
      <c r="B159" s="68"/>
      <c r="C159" s="68"/>
      <c r="N159" s="63"/>
      <c r="O159" s="68"/>
      <c r="P159" s="68"/>
      <c r="Q159" s="63"/>
      <c r="R159" s="63"/>
      <c r="S159" s="63"/>
      <c r="T159" s="63"/>
      <c r="U159" s="68"/>
      <c r="V159" s="63"/>
      <c r="W159" s="63"/>
      <c r="X159" s="309"/>
      <c r="Y159" s="63"/>
      <c r="Z159" s="63"/>
      <c r="AA159" s="63"/>
      <c r="AB159" s="63"/>
      <c r="AC159" s="63"/>
      <c r="AD159" s="8"/>
      <c r="AE159" s="142"/>
      <c r="AF159" s="142"/>
      <c r="AG159" s="142"/>
      <c r="AH159" s="142"/>
      <c r="AI159" s="203">
        <v>11</v>
      </c>
    </row>
    <row r="160" spans="1:35" s="203" customFormat="1" ht="11.45" customHeight="1">
      <c r="A160" s="572"/>
      <c r="B160" s="68"/>
      <c r="C160" s="68"/>
      <c r="N160" s="63"/>
      <c r="O160" s="68"/>
      <c r="P160" s="68"/>
      <c r="Q160" s="63"/>
      <c r="R160" s="63"/>
      <c r="S160" s="63"/>
      <c r="T160" s="63"/>
      <c r="U160" s="68"/>
      <c r="V160" s="63"/>
      <c r="W160" s="63"/>
      <c r="X160" s="309"/>
      <c r="Y160" s="63"/>
      <c r="Z160" s="63"/>
      <c r="AA160" s="63"/>
      <c r="AB160" s="63"/>
      <c r="AC160" s="63"/>
      <c r="AD160" s="8"/>
      <c r="AE160" s="142"/>
      <c r="AF160" s="142"/>
      <c r="AG160" s="142"/>
      <c r="AH160" s="142"/>
      <c r="AI160" s="203">
        <v>11</v>
      </c>
    </row>
    <row r="161" spans="1:35" s="203" customFormat="1" ht="11.45" customHeight="1">
      <c r="A161" s="572"/>
      <c r="B161" s="68"/>
      <c r="C161" s="68"/>
      <c r="N161" s="63"/>
      <c r="O161" s="68"/>
      <c r="P161" s="68"/>
      <c r="Q161" s="63"/>
      <c r="R161" s="63"/>
      <c r="S161" s="63"/>
      <c r="T161" s="63"/>
      <c r="U161" s="68"/>
      <c r="V161" s="63"/>
      <c r="W161" s="63"/>
      <c r="X161" s="309"/>
      <c r="Y161" s="63"/>
      <c r="Z161" s="63"/>
      <c r="AA161" s="63"/>
      <c r="AB161" s="63"/>
      <c r="AC161" s="63"/>
      <c r="AD161" s="8"/>
      <c r="AE161" s="142"/>
      <c r="AF161" s="142"/>
      <c r="AG161" s="142"/>
      <c r="AH161" s="142"/>
      <c r="AI161" s="203">
        <v>11</v>
      </c>
    </row>
    <row r="162" spans="1:35" s="203" customFormat="1" ht="11.45" customHeight="1">
      <c r="A162" s="572"/>
      <c r="B162" s="68"/>
      <c r="C162" s="68"/>
      <c r="N162" s="63"/>
      <c r="O162" s="68"/>
      <c r="P162" s="68"/>
      <c r="Q162" s="63"/>
      <c r="R162" s="63"/>
      <c r="S162" s="63"/>
      <c r="T162" s="63"/>
      <c r="U162" s="68"/>
      <c r="V162" s="63"/>
      <c r="W162" s="63"/>
      <c r="X162" s="309"/>
      <c r="Y162" s="63"/>
      <c r="Z162" s="63"/>
      <c r="AA162" s="63"/>
      <c r="AB162" s="63"/>
      <c r="AC162" s="63"/>
      <c r="AD162" s="8"/>
      <c r="AE162" s="142"/>
      <c r="AF162" s="142"/>
      <c r="AG162" s="142"/>
      <c r="AH162" s="142"/>
      <c r="AI162" s="203">
        <v>11</v>
      </c>
    </row>
    <row r="163" spans="1:35" s="203" customFormat="1" ht="11.45" customHeight="1">
      <c r="A163" s="572"/>
      <c r="B163" s="68"/>
      <c r="C163" s="68"/>
      <c r="N163" s="63"/>
      <c r="O163" s="68"/>
      <c r="P163" s="68"/>
      <c r="Q163" s="63"/>
      <c r="R163" s="63"/>
      <c r="S163" s="63"/>
      <c r="T163" s="63"/>
      <c r="U163" s="68"/>
      <c r="V163" s="63"/>
      <c r="W163" s="63"/>
      <c r="X163" s="309"/>
      <c r="Y163" s="63"/>
      <c r="Z163" s="63"/>
      <c r="AA163" s="63"/>
      <c r="AB163" s="63"/>
      <c r="AC163" s="63"/>
      <c r="AD163" s="8"/>
      <c r="AE163" s="142"/>
      <c r="AF163" s="142"/>
      <c r="AG163" s="142"/>
      <c r="AH163" s="142"/>
      <c r="AI163" s="203">
        <v>11</v>
      </c>
    </row>
    <row r="164" spans="1:35" s="203" customFormat="1" ht="11.45" customHeight="1">
      <c r="A164" s="572"/>
      <c r="B164" s="68"/>
      <c r="C164" s="68"/>
      <c r="N164" s="63"/>
      <c r="O164" s="68"/>
      <c r="P164" s="68"/>
      <c r="Q164" s="63"/>
      <c r="R164" s="63"/>
      <c r="S164" s="63"/>
      <c r="T164" s="63"/>
      <c r="U164" s="68"/>
      <c r="V164" s="63"/>
      <c r="W164" s="63"/>
      <c r="X164" s="309"/>
      <c r="Y164" s="63"/>
      <c r="Z164" s="63"/>
      <c r="AA164" s="63"/>
      <c r="AB164" s="63"/>
      <c r="AC164" s="63"/>
      <c r="AD164" s="8"/>
      <c r="AE164" s="142"/>
      <c r="AF164" s="142"/>
      <c r="AG164" s="142"/>
      <c r="AH164" s="142"/>
      <c r="AI164" s="203">
        <v>11</v>
      </c>
    </row>
    <row r="165" spans="1:35" s="203" customFormat="1" ht="11.45" customHeight="1">
      <c r="A165" s="572"/>
      <c r="B165" s="68"/>
      <c r="C165" s="68"/>
      <c r="N165" s="63"/>
      <c r="O165" s="68"/>
      <c r="P165" s="68"/>
      <c r="Q165" s="63"/>
      <c r="R165" s="63"/>
      <c r="S165" s="63"/>
      <c r="T165" s="63"/>
      <c r="U165" s="68"/>
      <c r="V165" s="63"/>
      <c r="W165" s="63"/>
      <c r="X165" s="309"/>
      <c r="Y165" s="63"/>
      <c r="Z165" s="63"/>
      <c r="AA165" s="63"/>
      <c r="AB165" s="63"/>
      <c r="AC165" s="63"/>
      <c r="AD165" s="8"/>
      <c r="AE165" s="142"/>
      <c r="AF165" s="142"/>
      <c r="AG165" s="142"/>
      <c r="AH165" s="142"/>
      <c r="AI165" s="203">
        <v>11</v>
      </c>
    </row>
    <row r="166" spans="1:35" s="203" customFormat="1" ht="11.45" customHeight="1">
      <c r="A166" s="572"/>
      <c r="B166" s="68"/>
      <c r="C166" s="68"/>
      <c r="N166" s="63"/>
      <c r="O166" s="68"/>
      <c r="P166" s="68"/>
      <c r="Q166" s="63"/>
      <c r="R166" s="63"/>
      <c r="S166" s="63"/>
      <c r="T166" s="63"/>
      <c r="U166" s="68"/>
      <c r="V166" s="63"/>
      <c r="W166" s="63"/>
      <c r="X166" s="309"/>
      <c r="Y166" s="63"/>
      <c r="Z166" s="63"/>
      <c r="AA166" s="63"/>
      <c r="AB166" s="63"/>
      <c r="AC166" s="63"/>
      <c r="AD166" s="8"/>
      <c r="AE166" s="142"/>
      <c r="AF166" s="142"/>
      <c r="AG166" s="142"/>
      <c r="AH166" s="142"/>
      <c r="AI166" s="203">
        <v>11</v>
      </c>
    </row>
    <row r="167" spans="1:35" s="203" customFormat="1" ht="11.45" customHeight="1">
      <c r="A167" s="572"/>
      <c r="B167" s="68"/>
      <c r="C167" s="68"/>
      <c r="N167" s="63"/>
      <c r="O167" s="68"/>
      <c r="P167" s="68"/>
      <c r="Q167" s="63"/>
      <c r="R167" s="63"/>
      <c r="S167" s="63"/>
      <c r="T167" s="63"/>
      <c r="U167" s="68"/>
      <c r="V167" s="63"/>
      <c r="W167" s="63"/>
      <c r="X167" s="309"/>
      <c r="Y167" s="63"/>
      <c r="Z167" s="63"/>
      <c r="AA167" s="63"/>
      <c r="AB167" s="63"/>
      <c r="AC167" s="63"/>
      <c r="AD167" s="8"/>
      <c r="AE167" s="142"/>
      <c r="AF167" s="142"/>
      <c r="AG167" s="142"/>
      <c r="AH167" s="142"/>
      <c r="AI167" s="203">
        <v>11</v>
      </c>
    </row>
    <row r="168" spans="1:35" s="203" customFormat="1" ht="11.45" customHeight="1">
      <c r="A168" s="572"/>
      <c r="B168" s="68"/>
      <c r="C168" s="68"/>
      <c r="N168" s="63"/>
      <c r="O168" s="68"/>
      <c r="P168" s="68"/>
      <c r="Q168" s="63"/>
      <c r="R168" s="63"/>
      <c r="S168" s="63"/>
      <c r="T168" s="63"/>
      <c r="U168" s="68"/>
      <c r="V168" s="63"/>
      <c r="W168" s="63"/>
      <c r="X168" s="309"/>
      <c r="Y168" s="63"/>
      <c r="Z168" s="63"/>
      <c r="AA168" s="63"/>
      <c r="AB168" s="63"/>
      <c r="AC168" s="63"/>
      <c r="AD168" s="8"/>
      <c r="AE168" s="142"/>
      <c r="AF168" s="142"/>
      <c r="AG168" s="142"/>
      <c r="AH168" s="142"/>
      <c r="AI168" s="203">
        <v>11</v>
      </c>
    </row>
    <row r="169" spans="1:35" s="203" customFormat="1" ht="11.45" customHeight="1">
      <c r="A169" s="572"/>
      <c r="B169" s="68"/>
      <c r="C169" s="68"/>
      <c r="N169" s="63"/>
      <c r="O169" s="68"/>
      <c r="P169" s="68"/>
      <c r="Q169" s="63"/>
      <c r="R169" s="63"/>
      <c r="S169" s="63"/>
      <c r="T169" s="63"/>
      <c r="U169" s="68"/>
      <c r="V169" s="63"/>
      <c r="W169" s="63"/>
      <c r="X169" s="309"/>
      <c r="Y169" s="63"/>
      <c r="Z169" s="63"/>
      <c r="AA169" s="63"/>
      <c r="AB169" s="63"/>
      <c r="AC169" s="63"/>
      <c r="AD169" s="8"/>
      <c r="AE169" s="142"/>
      <c r="AF169" s="142"/>
      <c r="AG169" s="142"/>
      <c r="AH169" s="142"/>
      <c r="AI169" s="203">
        <v>11</v>
      </c>
    </row>
    <row r="170" spans="1:35" s="203" customFormat="1" ht="11.45" customHeight="1">
      <c r="A170" s="572"/>
      <c r="B170" s="68"/>
      <c r="C170" s="68"/>
      <c r="N170" s="63"/>
      <c r="O170" s="68"/>
      <c r="P170" s="68"/>
      <c r="Q170" s="63"/>
      <c r="R170" s="63"/>
      <c r="S170" s="63"/>
      <c r="T170" s="63"/>
      <c r="U170" s="68"/>
      <c r="V170" s="63"/>
      <c r="W170" s="63"/>
      <c r="X170" s="309"/>
      <c r="Y170" s="63"/>
      <c r="Z170" s="63"/>
      <c r="AA170" s="63"/>
      <c r="AB170" s="63"/>
      <c r="AC170" s="63"/>
      <c r="AD170" s="8"/>
      <c r="AE170" s="142"/>
      <c r="AF170" s="142"/>
      <c r="AG170" s="142"/>
      <c r="AH170" s="142"/>
      <c r="AI170" s="203">
        <v>11</v>
      </c>
    </row>
    <row r="171" spans="1:35" s="203" customFormat="1" ht="11.45" customHeight="1">
      <c r="A171" s="572"/>
      <c r="B171" s="68"/>
      <c r="C171" s="68"/>
      <c r="N171" s="63"/>
      <c r="O171" s="68"/>
      <c r="P171" s="68"/>
      <c r="Q171" s="63"/>
      <c r="R171" s="63"/>
      <c r="S171" s="63"/>
      <c r="T171" s="63"/>
      <c r="U171" s="68"/>
      <c r="V171" s="63"/>
      <c r="W171" s="63"/>
      <c r="X171" s="309"/>
      <c r="Y171" s="63"/>
      <c r="Z171" s="63"/>
      <c r="AA171" s="63"/>
      <c r="AB171" s="63"/>
      <c r="AC171" s="63"/>
      <c r="AD171" s="8"/>
      <c r="AE171" s="142"/>
      <c r="AF171" s="142"/>
      <c r="AG171" s="142"/>
      <c r="AH171" s="142"/>
      <c r="AI171" s="203">
        <v>11</v>
      </c>
    </row>
    <row r="172" spans="1:35" s="203" customFormat="1" ht="11.45" customHeight="1">
      <c r="A172" s="572"/>
      <c r="B172" s="68"/>
      <c r="C172" s="68"/>
      <c r="N172" s="63"/>
      <c r="O172" s="68"/>
      <c r="P172" s="68"/>
      <c r="Q172" s="63"/>
      <c r="R172" s="63"/>
      <c r="S172" s="63"/>
      <c r="T172" s="63"/>
      <c r="U172" s="68"/>
      <c r="V172" s="63"/>
      <c r="W172" s="63"/>
      <c r="X172" s="309"/>
      <c r="Y172" s="63"/>
      <c r="Z172" s="63"/>
      <c r="AA172" s="63"/>
      <c r="AB172" s="63"/>
      <c r="AC172" s="63"/>
      <c r="AD172" s="8"/>
      <c r="AE172" s="142"/>
      <c r="AF172" s="142"/>
      <c r="AG172" s="142"/>
      <c r="AH172" s="142"/>
      <c r="AI172" s="203">
        <v>11</v>
      </c>
    </row>
    <row r="173" spans="1:35" s="203" customFormat="1" ht="11.45" customHeight="1">
      <c r="A173" s="572"/>
      <c r="B173" s="68"/>
      <c r="C173" s="68"/>
      <c r="N173" s="63"/>
      <c r="O173" s="68"/>
      <c r="P173" s="68"/>
      <c r="Q173" s="63"/>
      <c r="R173" s="63"/>
      <c r="S173" s="63"/>
      <c r="T173" s="63"/>
      <c r="U173" s="68"/>
      <c r="V173" s="63"/>
      <c r="W173" s="63"/>
      <c r="X173" s="309"/>
      <c r="Y173" s="63"/>
      <c r="Z173" s="63"/>
      <c r="AA173" s="63"/>
      <c r="AB173" s="63"/>
      <c r="AC173" s="63"/>
      <c r="AD173" s="8"/>
      <c r="AE173" s="142"/>
      <c r="AF173" s="142"/>
      <c r="AG173" s="142"/>
      <c r="AH173" s="142"/>
      <c r="AI173" s="203">
        <v>11</v>
      </c>
    </row>
    <row r="174" spans="1:35" s="203" customFormat="1" ht="11.45" customHeight="1">
      <c r="A174" s="572"/>
      <c r="B174" s="68"/>
      <c r="C174" s="68"/>
      <c r="N174" s="63"/>
      <c r="O174" s="68"/>
      <c r="P174" s="68"/>
      <c r="Q174" s="63"/>
      <c r="R174" s="63"/>
      <c r="S174" s="63"/>
      <c r="T174" s="63"/>
      <c r="U174" s="68"/>
      <c r="V174" s="63"/>
      <c r="W174" s="63"/>
      <c r="X174" s="309"/>
      <c r="Y174" s="63"/>
      <c r="Z174" s="63"/>
      <c r="AA174" s="63"/>
      <c r="AB174" s="63"/>
      <c r="AC174" s="63"/>
      <c r="AD174" s="8"/>
      <c r="AE174" s="142"/>
      <c r="AF174" s="142"/>
      <c r="AG174" s="142"/>
      <c r="AH174" s="142"/>
      <c r="AI174" s="203">
        <v>11</v>
      </c>
    </row>
    <row r="175" spans="1:35" s="203" customFormat="1" ht="11.45" customHeight="1">
      <c r="A175" s="572"/>
      <c r="B175" s="68"/>
      <c r="C175" s="68"/>
      <c r="N175" s="63"/>
      <c r="O175" s="68"/>
      <c r="P175" s="68"/>
      <c r="Q175" s="63"/>
      <c r="R175" s="63"/>
      <c r="S175" s="63"/>
      <c r="T175" s="63"/>
      <c r="U175" s="68"/>
      <c r="V175" s="63"/>
      <c r="W175" s="63"/>
      <c r="X175" s="309"/>
      <c r="Y175" s="63"/>
      <c r="Z175" s="63"/>
      <c r="AA175" s="63"/>
      <c r="AB175" s="63"/>
      <c r="AC175" s="63"/>
      <c r="AD175" s="8"/>
      <c r="AE175" s="142"/>
      <c r="AF175" s="142"/>
      <c r="AG175" s="142"/>
      <c r="AH175" s="142"/>
      <c r="AI175" s="203">
        <v>11</v>
      </c>
    </row>
    <row r="176" spans="1:35" s="203" customFormat="1" ht="11.45" customHeight="1">
      <c r="A176" s="572"/>
      <c r="B176" s="68"/>
      <c r="C176" s="68"/>
      <c r="N176" s="63"/>
      <c r="O176" s="68"/>
      <c r="P176" s="68"/>
      <c r="Q176" s="63"/>
      <c r="R176" s="63"/>
      <c r="S176" s="63"/>
      <c r="T176" s="63"/>
      <c r="U176" s="68"/>
      <c r="V176" s="63"/>
      <c r="W176" s="63"/>
      <c r="X176" s="309"/>
      <c r="Y176" s="63"/>
      <c r="Z176" s="63"/>
      <c r="AA176" s="63"/>
      <c r="AB176" s="63"/>
      <c r="AC176" s="63"/>
      <c r="AD176" s="8"/>
      <c r="AE176" s="142"/>
      <c r="AF176" s="142"/>
      <c r="AG176" s="142"/>
      <c r="AH176" s="142"/>
      <c r="AI176" s="203">
        <v>11</v>
      </c>
    </row>
    <row r="177" spans="1:35" s="203" customFormat="1" ht="11.45" customHeight="1">
      <c r="A177" s="572"/>
      <c r="B177" s="68"/>
      <c r="C177" s="68"/>
      <c r="N177" s="63"/>
      <c r="O177" s="68"/>
      <c r="P177" s="68"/>
      <c r="Q177" s="63"/>
      <c r="R177" s="63"/>
      <c r="S177" s="63"/>
      <c r="T177" s="63"/>
      <c r="U177" s="68"/>
      <c r="V177" s="63"/>
      <c r="W177" s="63"/>
      <c r="X177" s="309"/>
      <c r="Y177" s="63"/>
      <c r="Z177" s="63"/>
      <c r="AA177" s="63"/>
      <c r="AB177" s="63"/>
      <c r="AC177" s="63"/>
      <c r="AD177" s="8"/>
      <c r="AE177" s="142"/>
      <c r="AF177" s="142"/>
      <c r="AG177" s="142"/>
      <c r="AH177" s="142"/>
      <c r="AI177" s="203">
        <v>11</v>
      </c>
    </row>
    <row r="178" spans="1:35" s="203" customFormat="1" ht="11.45" customHeight="1">
      <c r="A178" s="572"/>
      <c r="B178" s="68"/>
      <c r="C178" s="68"/>
      <c r="N178" s="63"/>
      <c r="O178" s="68"/>
      <c r="P178" s="68"/>
      <c r="Q178" s="63"/>
      <c r="R178" s="63"/>
      <c r="S178" s="63"/>
      <c r="T178" s="63"/>
      <c r="U178" s="68"/>
      <c r="V178" s="63"/>
      <c r="W178" s="63"/>
      <c r="X178" s="309"/>
      <c r="Y178" s="63"/>
      <c r="Z178" s="63"/>
      <c r="AA178" s="63"/>
      <c r="AB178" s="63"/>
      <c r="AC178" s="63"/>
      <c r="AD178" s="8"/>
      <c r="AE178" s="142"/>
      <c r="AF178" s="142"/>
      <c r="AG178" s="142"/>
      <c r="AH178" s="142"/>
      <c r="AI178" s="203">
        <v>11</v>
      </c>
    </row>
    <row r="179" spans="1:35" s="203" customFormat="1" ht="11.45" customHeight="1">
      <c r="A179" s="572"/>
      <c r="B179" s="68"/>
      <c r="C179" s="68"/>
      <c r="N179" s="63"/>
      <c r="O179" s="68"/>
      <c r="P179" s="68"/>
      <c r="Q179" s="63"/>
      <c r="R179" s="63"/>
      <c r="S179" s="63"/>
      <c r="T179" s="63"/>
      <c r="U179" s="68"/>
      <c r="V179" s="63"/>
      <c r="W179" s="63"/>
      <c r="X179" s="309"/>
      <c r="Y179" s="63"/>
      <c r="Z179" s="63"/>
      <c r="AA179" s="63"/>
      <c r="AB179" s="63"/>
      <c r="AC179" s="63"/>
      <c r="AD179" s="8"/>
      <c r="AE179" s="142"/>
      <c r="AF179" s="142"/>
      <c r="AG179" s="142"/>
      <c r="AH179" s="142"/>
      <c r="AI179" s="203">
        <v>11</v>
      </c>
    </row>
    <row r="180" spans="1:35" s="203" customFormat="1" ht="11.45" customHeight="1">
      <c r="A180" s="572"/>
      <c r="B180" s="68"/>
      <c r="C180" s="68"/>
      <c r="N180" s="63"/>
      <c r="O180" s="68"/>
      <c r="P180" s="68"/>
      <c r="Q180" s="63"/>
      <c r="R180" s="63"/>
      <c r="S180" s="63"/>
      <c r="T180" s="63"/>
      <c r="U180" s="68"/>
      <c r="V180" s="63"/>
      <c r="W180" s="63"/>
      <c r="X180" s="309"/>
      <c r="Y180" s="63"/>
      <c r="Z180" s="63"/>
      <c r="AA180" s="63"/>
      <c r="AB180" s="63"/>
      <c r="AC180" s="63"/>
      <c r="AD180" s="8"/>
      <c r="AE180" s="142"/>
      <c r="AF180" s="142"/>
      <c r="AG180" s="142"/>
      <c r="AH180" s="142"/>
      <c r="AI180" s="203">
        <v>11</v>
      </c>
    </row>
    <row r="181" spans="1:35" s="203" customFormat="1" ht="11.45" customHeight="1">
      <c r="A181" s="572"/>
      <c r="B181" s="68"/>
      <c r="C181" s="68"/>
      <c r="N181" s="63"/>
      <c r="O181" s="68"/>
      <c r="P181" s="68"/>
      <c r="Q181" s="63"/>
      <c r="R181" s="63"/>
      <c r="S181" s="63"/>
      <c r="T181" s="63"/>
      <c r="U181" s="68"/>
      <c r="V181" s="63"/>
      <c r="W181" s="63"/>
      <c r="X181" s="309"/>
      <c r="Y181" s="63"/>
      <c r="Z181" s="63"/>
      <c r="AA181" s="63"/>
      <c r="AB181" s="63"/>
      <c r="AC181" s="63"/>
      <c r="AD181" s="8"/>
      <c r="AE181" s="142"/>
      <c r="AF181" s="142"/>
      <c r="AG181" s="142"/>
      <c r="AH181" s="142"/>
      <c r="AI181" s="203">
        <v>11</v>
      </c>
    </row>
    <row r="182" spans="1:35" s="203" customFormat="1" ht="11.45" customHeight="1">
      <c r="A182" s="572"/>
      <c r="B182" s="68"/>
      <c r="C182" s="68"/>
      <c r="N182" s="63"/>
      <c r="O182" s="68"/>
      <c r="P182" s="68"/>
      <c r="Q182" s="63"/>
      <c r="R182" s="63"/>
      <c r="S182" s="63"/>
      <c r="T182" s="63"/>
      <c r="U182" s="68"/>
      <c r="V182" s="63"/>
      <c r="W182" s="63"/>
      <c r="X182" s="309"/>
      <c r="Y182" s="63"/>
      <c r="Z182" s="63"/>
      <c r="AA182" s="63"/>
      <c r="AB182" s="63"/>
      <c r="AC182" s="63"/>
      <c r="AD182" s="8"/>
      <c r="AE182" s="142"/>
      <c r="AF182" s="142"/>
      <c r="AG182" s="142"/>
      <c r="AH182" s="142"/>
      <c r="AI182" s="203">
        <v>11</v>
      </c>
    </row>
    <row r="183" spans="1:35" s="203" customFormat="1" ht="11.45" customHeight="1">
      <c r="A183" s="572"/>
      <c r="B183" s="68"/>
      <c r="C183" s="68"/>
      <c r="N183" s="63"/>
      <c r="O183" s="68"/>
      <c r="P183" s="68"/>
      <c r="Q183" s="63"/>
      <c r="R183" s="63"/>
      <c r="S183" s="63"/>
      <c r="T183" s="63"/>
      <c r="U183" s="68"/>
      <c r="V183" s="63"/>
      <c r="W183" s="63"/>
      <c r="X183" s="309"/>
      <c r="Y183" s="63"/>
      <c r="Z183" s="63"/>
      <c r="AA183" s="63"/>
      <c r="AB183" s="63"/>
      <c r="AC183" s="63"/>
      <c r="AD183" s="8"/>
      <c r="AE183" s="142"/>
      <c r="AF183" s="142"/>
      <c r="AG183" s="142"/>
      <c r="AH183" s="142"/>
      <c r="AI183" s="203">
        <v>11</v>
      </c>
    </row>
    <row r="184" spans="1:35" s="203" customFormat="1" ht="11.45" customHeight="1">
      <c r="A184" s="572"/>
      <c r="B184" s="68"/>
      <c r="C184" s="68"/>
      <c r="N184" s="63"/>
      <c r="O184" s="68"/>
      <c r="P184" s="68"/>
      <c r="Q184" s="63"/>
      <c r="R184" s="63"/>
      <c r="S184" s="63"/>
      <c r="T184" s="63"/>
      <c r="U184" s="68"/>
      <c r="V184" s="63"/>
      <c r="W184" s="63"/>
      <c r="X184" s="309"/>
      <c r="Y184" s="63"/>
      <c r="Z184" s="63"/>
      <c r="AA184" s="63"/>
      <c r="AB184" s="63"/>
      <c r="AC184" s="63"/>
      <c r="AD184" s="8"/>
      <c r="AE184" s="142"/>
      <c r="AF184" s="142"/>
      <c r="AG184" s="142"/>
      <c r="AH184" s="142"/>
      <c r="AI184" s="203">
        <v>11</v>
      </c>
    </row>
    <row r="185" spans="1:35" s="203" customFormat="1" ht="11.45" customHeight="1">
      <c r="A185" s="572"/>
      <c r="B185" s="68"/>
      <c r="C185" s="68"/>
      <c r="N185" s="63"/>
      <c r="O185" s="68"/>
      <c r="P185" s="68"/>
      <c r="Q185" s="63"/>
      <c r="R185" s="63"/>
      <c r="S185" s="63"/>
      <c r="T185" s="63"/>
      <c r="U185" s="68"/>
      <c r="V185" s="63"/>
      <c r="W185" s="63"/>
      <c r="X185" s="309"/>
      <c r="Y185" s="63"/>
      <c r="Z185" s="63"/>
      <c r="AA185" s="63"/>
      <c r="AB185" s="63"/>
      <c r="AC185" s="63"/>
      <c r="AD185" s="8"/>
      <c r="AE185" s="142"/>
      <c r="AF185" s="142"/>
      <c r="AG185" s="142"/>
      <c r="AH185" s="142"/>
      <c r="AI185" s="203">
        <v>11</v>
      </c>
    </row>
    <row r="186" spans="1:35" s="203" customFormat="1" ht="11.45" customHeight="1">
      <c r="A186" s="572"/>
      <c r="B186" s="68"/>
      <c r="C186" s="68"/>
      <c r="N186" s="63"/>
      <c r="O186" s="68"/>
      <c r="P186" s="68"/>
      <c r="Q186" s="63"/>
      <c r="R186" s="63"/>
      <c r="S186" s="63"/>
      <c r="T186" s="63"/>
      <c r="U186" s="68"/>
      <c r="V186" s="63"/>
      <c r="W186" s="63"/>
      <c r="X186" s="309"/>
      <c r="Y186" s="63"/>
      <c r="Z186" s="63"/>
      <c r="AA186" s="63"/>
      <c r="AB186" s="63"/>
      <c r="AC186" s="63"/>
      <c r="AD186" s="8"/>
      <c r="AE186" s="142"/>
      <c r="AF186" s="142"/>
      <c r="AG186" s="142"/>
      <c r="AH186" s="142"/>
      <c r="AI186" s="203">
        <v>11</v>
      </c>
    </row>
    <row r="187" spans="1:35" s="203" customFormat="1" ht="11.45" customHeight="1">
      <c r="A187" s="572"/>
      <c r="B187" s="68"/>
      <c r="C187" s="68"/>
      <c r="N187" s="63"/>
      <c r="O187" s="68"/>
      <c r="P187" s="68"/>
      <c r="Q187" s="63"/>
      <c r="R187" s="63"/>
      <c r="S187" s="63"/>
      <c r="T187" s="63"/>
      <c r="U187" s="68"/>
      <c r="V187" s="63"/>
      <c r="W187" s="63"/>
      <c r="X187" s="309"/>
      <c r="Y187" s="63"/>
      <c r="Z187" s="63"/>
      <c r="AA187" s="63"/>
      <c r="AB187" s="63"/>
      <c r="AC187" s="63"/>
      <c r="AD187" s="8"/>
      <c r="AE187" s="142"/>
      <c r="AF187" s="142"/>
      <c r="AG187" s="142"/>
      <c r="AH187" s="142"/>
      <c r="AI187" s="203">
        <v>11</v>
      </c>
    </row>
    <row r="188" spans="1:35" s="203" customFormat="1" ht="11.45" customHeight="1">
      <c r="A188" s="572"/>
      <c r="B188" s="68"/>
      <c r="C188" s="68"/>
      <c r="N188" s="63"/>
      <c r="O188" s="68"/>
      <c r="P188" s="68"/>
      <c r="Q188" s="63"/>
      <c r="R188" s="63"/>
      <c r="S188" s="63"/>
      <c r="T188" s="63"/>
      <c r="U188" s="68"/>
      <c r="V188" s="63"/>
      <c r="W188" s="63"/>
      <c r="X188" s="309"/>
      <c r="Y188" s="63"/>
      <c r="Z188" s="63"/>
      <c r="AA188" s="63"/>
      <c r="AB188" s="63"/>
      <c r="AC188" s="63"/>
      <c r="AD188" s="8"/>
      <c r="AE188" s="142"/>
      <c r="AF188" s="142"/>
      <c r="AG188" s="142"/>
      <c r="AH188" s="142"/>
      <c r="AI188" s="203">
        <v>11</v>
      </c>
    </row>
    <row r="189" spans="1:35" s="203" customFormat="1" ht="11.45" customHeight="1">
      <c r="A189" s="572"/>
      <c r="B189" s="68"/>
      <c r="C189" s="68"/>
      <c r="N189" s="63"/>
      <c r="O189" s="68"/>
      <c r="P189" s="68"/>
      <c r="Q189" s="63"/>
      <c r="R189" s="63"/>
      <c r="S189" s="63"/>
      <c r="T189" s="63"/>
      <c r="U189" s="68"/>
      <c r="V189" s="63"/>
      <c r="W189" s="63"/>
      <c r="X189" s="309"/>
      <c r="Y189" s="63"/>
      <c r="Z189" s="63"/>
      <c r="AA189" s="63"/>
      <c r="AB189" s="63"/>
      <c r="AC189" s="63"/>
      <c r="AD189" s="8"/>
      <c r="AE189" s="142"/>
      <c r="AF189" s="142"/>
      <c r="AG189" s="142"/>
      <c r="AH189" s="142"/>
      <c r="AI189" s="203">
        <v>11</v>
      </c>
    </row>
    <row r="190" spans="1:35" s="203" customFormat="1" ht="11.45" customHeight="1">
      <c r="A190" s="572"/>
      <c r="B190" s="68"/>
      <c r="C190" s="68"/>
      <c r="N190" s="63"/>
      <c r="O190" s="68"/>
      <c r="P190" s="68"/>
      <c r="Q190" s="63"/>
      <c r="R190" s="63"/>
      <c r="S190" s="63"/>
      <c r="T190" s="63"/>
      <c r="U190" s="68"/>
      <c r="V190" s="63"/>
      <c r="W190" s="63"/>
      <c r="X190" s="309"/>
      <c r="Y190" s="63"/>
      <c r="Z190" s="63"/>
      <c r="AA190" s="63"/>
      <c r="AB190" s="63"/>
      <c r="AC190" s="63"/>
      <c r="AD190" s="8"/>
      <c r="AE190" s="142"/>
      <c r="AF190" s="142"/>
      <c r="AG190" s="142"/>
      <c r="AH190" s="142"/>
      <c r="AI190" s="203">
        <v>11</v>
      </c>
    </row>
    <row r="191" spans="1:35" s="203" customFormat="1" ht="11.45" customHeight="1">
      <c r="A191" s="572"/>
      <c r="B191" s="68"/>
      <c r="C191" s="68"/>
      <c r="N191" s="63"/>
      <c r="O191" s="68"/>
      <c r="P191" s="68"/>
      <c r="Q191" s="63"/>
      <c r="R191" s="63"/>
      <c r="S191" s="63"/>
      <c r="T191" s="63"/>
      <c r="U191" s="68"/>
      <c r="V191" s="63"/>
      <c r="W191" s="63"/>
      <c r="X191" s="309"/>
      <c r="Y191" s="63"/>
      <c r="Z191" s="63"/>
      <c r="AA191" s="63"/>
      <c r="AB191" s="63"/>
      <c r="AC191" s="63"/>
      <c r="AD191" s="8"/>
      <c r="AE191" s="142"/>
      <c r="AF191" s="142"/>
      <c r="AG191" s="142"/>
      <c r="AH191" s="142"/>
      <c r="AI191" s="203">
        <v>11</v>
      </c>
    </row>
    <row r="192" spans="1:35" s="203" customFormat="1" ht="11.45" customHeight="1">
      <c r="A192" s="572"/>
      <c r="B192" s="68"/>
      <c r="C192" s="68"/>
      <c r="N192" s="63"/>
      <c r="O192" s="68"/>
      <c r="P192" s="68"/>
      <c r="Q192" s="63"/>
      <c r="R192" s="63"/>
      <c r="S192" s="63"/>
      <c r="T192" s="63"/>
      <c r="U192" s="68"/>
      <c r="V192" s="63"/>
      <c r="W192" s="63"/>
      <c r="X192" s="309"/>
      <c r="Y192" s="63"/>
      <c r="Z192" s="63"/>
      <c r="AA192" s="63"/>
      <c r="AB192" s="63"/>
      <c r="AC192" s="63"/>
      <c r="AD192" s="8"/>
      <c r="AE192" s="142"/>
      <c r="AF192" s="142"/>
      <c r="AG192" s="142"/>
      <c r="AH192" s="142"/>
      <c r="AI192" s="203">
        <v>11</v>
      </c>
    </row>
    <row r="193" spans="1:35" s="203" customFormat="1" ht="11.45" customHeight="1">
      <c r="A193" s="572"/>
      <c r="B193" s="68"/>
      <c r="C193" s="68"/>
      <c r="N193" s="63"/>
      <c r="O193" s="68"/>
      <c r="P193" s="68"/>
      <c r="Q193" s="63"/>
      <c r="R193" s="63"/>
      <c r="S193" s="63"/>
      <c r="T193" s="63"/>
      <c r="U193" s="68"/>
      <c r="V193" s="63"/>
      <c r="W193" s="63"/>
      <c r="X193" s="309"/>
      <c r="Y193" s="63"/>
      <c r="Z193" s="63"/>
      <c r="AA193" s="63"/>
      <c r="AB193" s="63"/>
      <c r="AC193" s="63"/>
      <c r="AD193" s="8"/>
      <c r="AE193" s="142"/>
      <c r="AF193" s="142"/>
      <c r="AG193" s="142"/>
      <c r="AH193" s="142"/>
      <c r="AI193" s="203">
        <v>11</v>
      </c>
    </row>
    <row r="194" spans="1:35" s="203" customFormat="1" ht="11.45" customHeight="1">
      <c r="A194" s="572"/>
      <c r="B194" s="68"/>
      <c r="C194" s="68"/>
      <c r="N194" s="63"/>
      <c r="O194" s="68"/>
      <c r="P194" s="68"/>
      <c r="Q194" s="63"/>
      <c r="R194" s="63"/>
      <c r="S194" s="63"/>
      <c r="T194" s="63"/>
      <c r="U194" s="68"/>
      <c r="V194" s="63"/>
      <c r="W194" s="63"/>
      <c r="X194" s="309"/>
      <c r="Y194" s="63"/>
      <c r="Z194" s="63"/>
      <c r="AA194" s="63"/>
      <c r="AB194" s="63"/>
      <c r="AC194" s="63"/>
      <c r="AD194" s="8"/>
      <c r="AE194" s="142"/>
      <c r="AF194" s="142"/>
      <c r="AG194" s="142"/>
      <c r="AH194" s="142"/>
      <c r="AI194" s="203">
        <v>11</v>
      </c>
    </row>
    <row r="195" spans="1:35" s="203" customFormat="1" ht="11.45" customHeight="1">
      <c r="A195" s="572"/>
      <c r="B195" s="68"/>
      <c r="C195" s="68"/>
      <c r="N195" s="63"/>
      <c r="O195" s="68"/>
      <c r="P195" s="68"/>
      <c r="Q195" s="63"/>
      <c r="R195" s="63"/>
      <c r="S195" s="63"/>
      <c r="T195" s="63"/>
      <c r="U195" s="68"/>
      <c r="V195" s="63"/>
      <c r="W195" s="63"/>
      <c r="X195" s="309"/>
      <c r="Y195" s="63"/>
      <c r="Z195" s="63"/>
      <c r="AA195" s="63"/>
      <c r="AB195" s="63"/>
      <c r="AC195" s="63"/>
      <c r="AD195" s="8"/>
      <c r="AE195" s="142"/>
      <c r="AF195" s="142"/>
      <c r="AG195" s="142"/>
      <c r="AH195" s="142"/>
      <c r="AI195" s="203">
        <v>11</v>
      </c>
    </row>
    <row r="196" spans="1:35" s="203" customFormat="1" ht="11.45" customHeight="1">
      <c r="A196" s="572"/>
      <c r="B196" s="68"/>
      <c r="C196" s="68"/>
      <c r="N196" s="63"/>
      <c r="O196" s="68"/>
      <c r="P196" s="68"/>
      <c r="Q196" s="63"/>
      <c r="R196" s="63"/>
      <c r="S196" s="63"/>
      <c r="T196" s="63"/>
      <c r="U196" s="68"/>
      <c r="V196" s="63"/>
      <c r="W196" s="63"/>
      <c r="X196" s="309"/>
      <c r="Y196" s="63"/>
      <c r="Z196" s="63"/>
      <c r="AA196" s="63"/>
      <c r="AB196" s="63"/>
      <c r="AC196" s="63"/>
      <c r="AD196" s="8"/>
      <c r="AE196" s="142"/>
      <c r="AF196" s="142"/>
      <c r="AG196" s="142"/>
      <c r="AH196" s="142"/>
      <c r="AI196" s="203">
        <v>11</v>
      </c>
    </row>
    <row r="197" spans="1:35" s="203" customFormat="1" ht="11.45" customHeight="1">
      <c r="A197" s="572"/>
      <c r="B197" s="68"/>
      <c r="C197" s="68"/>
      <c r="N197" s="63"/>
      <c r="O197" s="68"/>
      <c r="P197" s="68"/>
      <c r="Q197" s="63"/>
      <c r="R197" s="63"/>
      <c r="S197" s="63"/>
      <c r="T197" s="63"/>
      <c r="U197" s="68"/>
      <c r="V197" s="63"/>
      <c r="W197" s="63"/>
      <c r="X197" s="309"/>
      <c r="Y197" s="63"/>
      <c r="Z197" s="63"/>
      <c r="AA197" s="63"/>
      <c r="AB197" s="63"/>
      <c r="AC197" s="63"/>
      <c r="AD197" s="8"/>
      <c r="AE197" s="142"/>
      <c r="AF197" s="142"/>
      <c r="AG197" s="142"/>
      <c r="AH197" s="142"/>
      <c r="AI197" s="203">
        <v>11</v>
      </c>
    </row>
    <row r="198" spans="1:35" s="203" customFormat="1" ht="11.45" customHeight="1">
      <c r="A198" s="572"/>
      <c r="B198" s="68"/>
      <c r="C198" s="68"/>
      <c r="N198" s="63"/>
      <c r="O198" s="68"/>
      <c r="P198" s="68"/>
      <c r="Q198" s="63"/>
      <c r="R198" s="63"/>
      <c r="S198" s="63"/>
      <c r="T198" s="63"/>
      <c r="U198" s="68"/>
      <c r="V198" s="63"/>
      <c r="W198" s="63"/>
      <c r="X198" s="309"/>
      <c r="Y198" s="63"/>
      <c r="Z198" s="63"/>
      <c r="AA198" s="63"/>
      <c r="AB198" s="63"/>
      <c r="AC198" s="63"/>
      <c r="AD198" s="8"/>
      <c r="AE198" s="142"/>
      <c r="AF198" s="142"/>
      <c r="AG198" s="142"/>
      <c r="AH198" s="142"/>
      <c r="AI198" s="203">
        <v>11</v>
      </c>
    </row>
    <row r="199" spans="1:35" s="203" customFormat="1" ht="11.45" customHeight="1">
      <c r="A199" s="572"/>
      <c r="B199" s="68"/>
      <c r="C199" s="68"/>
      <c r="N199" s="63"/>
      <c r="O199" s="68"/>
      <c r="P199" s="68"/>
      <c r="Q199" s="63"/>
      <c r="R199" s="63"/>
      <c r="S199" s="63"/>
      <c r="T199" s="63"/>
      <c r="U199" s="68"/>
      <c r="V199" s="63"/>
      <c r="W199" s="63"/>
      <c r="X199" s="309"/>
      <c r="Y199" s="63"/>
      <c r="Z199" s="63"/>
      <c r="AA199" s="63"/>
      <c r="AB199" s="63"/>
      <c r="AC199" s="63"/>
      <c r="AD199" s="8"/>
      <c r="AE199" s="142"/>
      <c r="AF199" s="142"/>
      <c r="AG199" s="142"/>
      <c r="AH199" s="142"/>
      <c r="AI199" s="203">
        <v>11</v>
      </c>
    </row>
    <row r="200" spans="1:35" s="203" customFormat="1" ht="11.45" customHeight="1">
      <c r="A200" s="572"/>
      <c r="B200" s="68"/>
      <c r="C200" s="68"/>
      <c r="N200" s="63"/>
      <c r="O200" s="68"/>
      <c r="P200" s="68"/>
      <c r="Q200" s="63"/>
      <c r="R200" s="63"/>
      <c r="S200" s="63"/>
      <c r="T200" s="63"/>
      <c r="U200" s="68"/>
      <c r="V200" s="63"/>
      <c r="W200" s="63"/>
      <c r="X200" s="309"/>
      <c r="Y200" s="63"/>
      <c r="Z200" s="63"/>
      <c r="AA200" s="63"/>
      <c r="AB200" s="63"/>
      <c r="AC200" s="63"/>
      <c r="AD200" s="8"/>
      <c r="AE200" s="142"/>
      <c r="AF200" s="142"/>
      <c r="AG200" s="142"/>
      <c r="AH200" s="142"/>
      <c r="AI200" s="203">
        <v>11</v>
      </c>
    </row>
    <row r="201" spans="1:35" s="203" customFormat="1" ht="11.45" customHeight="1">
      <c r="A201" s="572"/>
      <c r="B201" s="68"/>
      <c r="C201" s="68"/>
      <c r="N201" s="63"/>
      <c r="O201" s="68"/>
      <c r="P201" s="68"/>
      <c r="Q201" s="63"/>
      <c r="R201" s="63"/>
      <c r="S201" s="63"/>
      <c r="T201" s="63"/>
      <c r="U201" s="68"/>
      <c r="V201" s="63"/>
      <c r="W201" s="63"/>
      <c r="X201" s="309"/>
      <c r="Y201" s="63"/>
      <c r="Z201" s="63"/>
      <c r="AA201" s="63"/>
      <c r="AB201" s="63"/>
      <c r="AC201" s="63"/>
      <c r="AD201" s="8"/>
      <c r="AE201" s="142"/>
      <c r="AF201" s="142"/>
      <c r="AG201" s="142"/>
      <c r="AH201" s="142"/>
      <c r="AI201" s="203">
        <v>11</v>
      </c>
    </row>
    <row r="202" spans="1:35" s="203" customFormat="1" ht="11.45" customHeight="1">
      <c r="A202" s="572"/>
      <c r="B202" s="68"/>
      <c r="C202" s="68"/>
      <c r="N202" s="63"/>
      <c r="O202" s="68"/>
      <c r="P202" s="68"/>
      <c r="Q202" s="63"/>
      <c r="R202" s="63"/>
      <c r="S202" s="63"/>
      <c r="T202" s="63"/>
      <c r="U202" s="68"/>
      <c r="V202" s="63"/>
      <c r="W202" s="63"/>
      <c r="X202" s="309"/>
      <c r="Y202" s="63"/>
      <c r="Z202" s="63"/>
      <c r="AA202" s="63"/>
      <c r="AB202" s="63"/>
      <c r="AC202" s="63"/>
      <c r="AD202" s="8"/>
      <c r="AE202" s="142"/>
      <c r="AF202" s="142"/>
      <c r="AG202" s="142"/>
      <c r="AH202" s="142"/>
      <c r="AI202" s="203">
        <v>11</v>
      </c>
    </row>
    <row r="203" spans="1:35" s="203" customFormat="1" ht="11.45" customHeight="1">
      <c r="A203" s="572"/>
      <c r="B203" s="68"/>
      <c r="C203" s="68"/>
      <c r="N203" s="63"/>
      <c r="O203" s="68"/>
      <c r="P203" s="68"/>
      <c r="Q203" s="63"/>
      <c r="R203" s="63"/>
      <c r="S203" s="63"/>
      <c r="T203" s="63"/>
      <c r="U203" s="68"/>
      <c r="V203" s="63"/>
      <c r="W203" s="63"/>
      <c r="X203" s="309"/>
      <c r="Y203" s="63"/>
      <c r="Z203" s="63"/>
      <c r="AA203" s="63"/>
      <c r="AB203" s="63"/>
      <c r="AC203" s="63"/>
      <c r="AD203" s="8"/>
      <c r="AE203" s="142"/>
      <c r="AF203" s="142"/>
      <c r="AG203" s="142"/>
      <c r="AH203" s="142"/>
      <c r="AI203" s="203">
        <v>11</v>
      </c>
    </row>
    <row r="204" spans="1:35" s="203" customFormat="1" ht="11.45" customHeight="1">
      <c r="A204" s="572"/>
      <c r="B204" s="68"/>
      <c r="C204" s="68"/>
      <c r="N204" s="63"/>
      <c r="O204" s="68"/>
      <c r="P204" s="68"/>
      <c r="Q204" s="63"/>
      <c r="R204" s="63"/>
      <c r="S204" s="63"/>
      <c r="T204" s="63"/>
      <c r="U204" s="68"/>
      <c r="V204" s="63"/>
      <c r="W204" s="63"/>
      <c r="X204" s="309"/>
      <c r="Y204" s="63"/>
      <c r="Z204" s="63"/>
      <c r="AA204" s="63"/>
      <c r="AB204" s="63"/>
      <c r="AC204" s="63"/>
      <c r="AD204" s="8"/>
      <c r="AE204" s="142"/>
      <c r="AF204" s="142"/>
      <c r="AG204" s="142"/>
      <c r="AH204" s="142"/>
      <c r="AI204" s="203">
        <v>11</v>
      </c>
    </row>
    <row r="205" spans="1:35" s="203" customFormat="1" ht="11.45" customHeight="1">
      <c r="A205" s="572"/>
      <c r="B205" s="68"/>
      <c r="C205" s="68"/>
      <c r="N205" s="63"/>
      <c r="O205" s="68"/>
      <c r="P205" s="68"/>
      <c r="Q205" s="63"/>
      <c r="R205" s="63"/>
      <c r="S205" s="63"/>
      <c r="T205" s="63"/>
      <c r="U205" s="68"/>
      <c r="V205" s="63"/>
      <c r="W205" s="63"/>
      <c r="X205" s="309"/>
      <c r="Y205" s="63"/>
      <c r="Z205" s="63"/>
      <c r="AA205" s="63"/>
      <c r="AB205" s="63"/>
      <c r="AC205" s="63"/>
      <c r="AD205" s="8"/>
      <c r="AE205" s="142"/>
      <c r="AF205" s="142"/>
      <c r="AG205" s="142"/>
      <c r="AH205" s="142"/>
      <c r="AI205" s="203">
        <v>11</v>
      </c>
    </row>
    <row r="206" spans="1:35" s="203" customFormat="1" ht="11.45" customHeight="1">
      <c r="A206" s="572"/>
      <c r="B206" s="68"/>
      <c r="C206" s="68"/>
      <c r="N206" s="63"/>
      <c r="O206" s="68"/>
      <c r="P206" s="68"/>
      <c r="Q206" s="63"/>
      <c r="R206" s="63"/>
      <c r="S206" s="63"/>
      <c r="T206" s="63"/>
      <c r="U206" s="68"/>
      <c r="V206" s="63"/>
      <c r="W206" s="63"/>
      <c r="X206" s="309"/>
      <c r="Y206" s="63"/>
      <c r="Z206" s="63"/>
      <c r="AA206" s="63"/>
      <c r="AB206" s="63"/>
      <c r="AC206" s="63"/>
      <c r="AD206" s="8"/>
      <c r="AE206" s="142"/>
      <c r="AF206" s="142"/>
      <c r="AG206" s="142"/>
      <c r="AH206" s="142"/>
      <c r="AI206" s="203">
        <v>11</v>
      </c>
    </row>
    <row r="207" spans="1:35" s="203" customFormat="1" ht="11.45" customHeight="1">
      <c r="A207" s="572"/>
      <c r="B207" s="68"/>
      <c r="C207" s="68"/>
      <c r="N207" s="63"/>
      <c r="O207" s="68"/>
      <c r="P207" s="68"/>
      <c r="Q207" s="63"/>
      <c r="R207" s="63"/>
      <c r="S207" s="63"/>
      <c r="T207" s="63"/>
      <c r="U207" s="68"/>
      <c r="V207" s="63"/>
      <c r="W207" s="63"/>
      <c r="X207" s="309"/>
      <c r="Y207" s="63"/>
      <c r="Z207" s="63"/>
      <c r="AA207" s="63"/>
      <c r="AB207" s="63"/>
      <c r="AC207" s="63"/>
      <c r="AD207" s="8"/>
      <c r="AE207" s="142"/>
      <c r="AF207" s="142"/>
      <c r="AG207" s="142"/>
      <c r="AH207" s="142"/>
      <c r="AI207" s="203">
        <v>11</v>
      </c>
    </row>
    <row r="208" spans="1:35" s="203" customFormat="1" ht="11.45" customHeight="1">
      <c r="A208" s="572"/>
      <c r="B208" s="68"/>
      <c r="C208" s="68"/>
      <c r="N208" s="63"/>
      <c r="O208" s="68"/>
      <c r="P208" s="68"/>
      <c r="Q208" s="63"/>
      <c r="R208" s="63"/>
      <c r="S208" s="63"/>
      <c r="T208" s="63"/>
      <c r="U208" s="68"/>
      <c r="V208" s="63"/>
      <c r="W208" s="63"/>
      <c r="X208" s="309"/>
      <c r="Y208" s="63"/>
      <c r="Z208" s="63"/>
      <c r="AA208" s="63"/>
      <c r="AB208" s="63"/>
      <c r="AC208" s="63"/>
      <c r="AD208" s="8"/>
      <c r="AE208" s="142"/>
      <c r="AF208" s="142"/>
      <c r="AG208" s="142"/>
      <c r="AH208" s="142"/>
      <c r="AI208" s="203">
        <v>11</v>
      </c>
    </row>
    <row r="209" spans="1:35" s="203" customFormat="1" ht="11.45" customHeight="1">
      <c r="A209" s="572"/>
      <c r="B209" s="68"/>
      <c r="C209" s="68"/>
      <c r="N209" s="63"/>
      <c r="O209" s="68"/>
      <c r="P209" s="68"/>
      <c r="Q209" s="63"/>
      <c r="R209" s="63"/>
      <c r="S209" s="63"/>
      <c r="T209" s="63"/>
      <c r="U209" s="68"/>
      <c r="V209" s="63"/>
      <c r="W209" s="63"/>
      <c r="X209" s="309"/>
      <c r="Y209" s="63"/>
      <c r="Z209" s="63"/>
      <c r="AA209" s="63"/>
      <c r="AB209" s="63"/>
      <c r="AC209" s="63"/>
      <c r="AD209" s="8"/>
      <c r="AE209" s="142"/>
      <c r="AF209" s="142"/>
      <c r="AG209" s="142"/>
      <c r="AH209" s="142"/>
      <c r="AI209" s="203">
        <v>11</v>
      </c>
    </row>
    <row r="210" spans="1:35" s="203" customFormat="1" ht="11.45" customHeight="1">
      <c r="A210" s="572"/>
      <c r="B210" s="68"/>
      <c r="C210" s="68"/>
      <c r="N210" s="63"/>
      <c r="O210" s="68"/>
      <c r="P210" s="68"/>
      <c r="Q210" s="63"/>
      <c r="R210" s="63"/>
      <c r="S210" s="63"/>
      <c r="T210" s="63"/>
      <c r="U210" s="68"/>
      <c r="V210" s="63"/>
      <c r="W210" s="63"/>
      <c r="X210" s="309"/>
      <c r="Y210" s="63"/>
      <c r="Z210" s="63"/>
      <c r="AA210" s="63"/>
      <c r="AB210" s="63"/>
      <c r="AC210" s="63"/>
      <c r="AD210" s="8"/>
      <c r="AE210" s="142"/>
      <c r="AF210" s="142"/>
      <c r="AG210" s="142"/>
      <c r="AH210" s="142"/>
      <c r="AI210" s="203">
        <v>11</v>
      </c>
    </row>
    <row r="211" spans="1:35" s="203" customFormat="1" ht="11.45" customHeight="1">
      <c r="A211" s="572"/>
      <c r="B211" s="68"/>
      <c r="C211" s="68"/>
      <c r="N211" s="63"/>
      <c r="O211" s="68"/>
      <c r="P211" s="68"/>
      <c r="Q211" s="63"/>
      <c r="R211" s="63"/>
      <c r="S211" s="63"/>
      <c r="T211" s="63"/>
      <c r="U211" s="68"/>
      <c r="V211" s="63"/>
      <c r="W211" s="63"/>
      <c r="X211" s="309"/>
      <c r="Y211" s="63"/>
      <c r="Z211" s="63"/>
      <c r="AA211" s="63"/>
      <c r="AB211" s="63"/>
      <c r="AC211" s="63"/>
      <c r="AD211" s="8"/>
      <c r="AE211" s="142"/>
      <c r="AF211" s="142"/>
      <c r="AG211" s="142"/>
      <c r="AH211" s="142"/>
      <c r="AI211" s="203">
        <v>11</v>
      </c>
    </row>
    <row r="212" spans="1:35" s="203" customFormat="1" ht="11.45" customHeight="1">
      <c r="A212" s="572"/>
      <c r="B212" s="68"/>
      <c r="C212" s="68"/>
      <c r="N212" s="63"/>
      <c r="O212" s="68"/>
      <c r="P212" s="68"/>
      <c r="Q212" s="63"/>
      <c r="R212" s="63"/>
      <c r="S212" s="63"/>
      <c r="T212" s="63"/>
      <c r="U212" s="68"/>
      <c r="V212" s="63"/>
      <c r="W212" s="63"/>
      <c r="X212" s="309"/>
      <c r="Y212" s="63"/>
      <c r="Z212" s="63"/>
      <c r="AA212" s="63"/>
      <c r="AB212" s="63"/>
      <c r="AC212" s="63"/>
      <c r="AD212" s="8"/>
      <c r="AE212" s="142"/>
      <c r="AF212" s="142"/>
      <c r="AG212" s="142"/>
      <c r="AH212" s="142"/>
      <c r="AI212" s="203">
        <v>11</v>
      </c>
    </row>
    <row r="213" spans="1:35" s="203" customFormat="1" ht="11.45" customHeight="1">
      <c r="A213" s="572"/>
      <c r="B213" s="68"/>
      <c r="C213" s="68"/>
      <c r="N213" s="63"/>
      <c r="O213" s="68"/>
      <c r="P213" s="68"/>
      <c r="Q213" s="63"/>
      <c r="R213" s="63"/>
      <c r="S213" s="63"/>
      <c r="T213" s="63"/>
      <c r="U213" s="68"/>
      <c r="V213" s="63"/>
      <c r="W213" s="63"/>
      <c r="X213" s="309"/>
      <c r="Y213" s="63"/>
      <c r="Z213" s="63"/>
      <c r="AA213" s="63"/>
      <c r="AB213" s="63"/>
      <c r="AC213" s="63"/>
      <c r="AD213" s="8"/>
      <c r="AE213" s="142"/>
      <c r="AF213" s="142"/>
      <c r="AG213" s="142"/>
      <c r="AH213" s="142"/>
      <c r="AI213" s="203">
        <v>11</v>
      </c>
    </row>
    <row r="214" spans="1:35" s="203" customFormat="1" ht="11.45" customHeight="1">
      <c r="A214" s="572"/>
      <c r="B214" s="68"/>
      <c r="C214" s="68"/>
      <c r="N214" s="63"/>
      <c r="O214" s="68"/>
      <c r="P214" s="68"/>
      <c r="Q214" s="63"/>
      <c r="R214" s="63"/>
      <c r="S214" s="63"/>
      <c r="T214" s="63"/>
      <c r="U214" s="68"/>
      <c r="V214" s="63"/>
      <c r="W214" s="63"/>
      <c r="X214" s="309"/>
      <c r="Y214" s="63"/>
      <c r="Z214" s="63"/>
      <c r="AA214" s="63"/>
      <c r="AB214" s="63"/>
      <c r="AC214" s="63"/>
      <c r="AD214" s="8"/>
      <c r="AE214" s="142"/>
      <c r="AF214" s="142"/>
      <c r="AG214" s="142"/>
      <c r="AH214" s="142"/>
      <c r="AI214" s="203">
        <v>11</v>
      </c>
    </row>
    <row r="215" spans="1:35" s="203" customFormat="1" ht="11.45" customHeight="1">
      <c r="A215" s="572"/>
      <c r="B215" s="68"/>
      <c r="C215" s="68"/>
      <c r="N215" s="63"/>
      <c r="O215" s="68"/>
      <c r="P215" s="68"/>
      <c r="Q215" s="63"/>
      <c r="R215" s="63"/>
      <c r="S215" s="63"/>
      <c r="T215" s="63"/>
      <c r="U215" s="68"/>
      <c r="V215" s="63"/>
      <c r="W215" s="63"/>
      <c r="X215" s="309"/>
      <c r="Y215" s="63"/>
      <c r="Z215" s="63"/>
      <c r="AA215" s="63"/>
      <c r="AB215" s="63"/>
      <c r="AC215" s="63"/>
      <c r="AD215" s="8"/>
      <c r="AE215" s="142"/>
      <c r="AF215" s="142"/>
      <c r="AG215" s="142"/>
      <c r="AH215" s="142"/>
      <c r="AI215" s="203">
        <v>11</v>
      </c>
    </row>
    <row r="216" spans="1:35" s="203" customFormat="1" ht="11.45" customHeight="1">
      <c r="A216" s="572"/>
      <c r="B216" s="68"/>
      <c r="C216" s="68"/>
      <c r="N216" s="63"/>
      <c r="O216" s="68"/>
      <c r="P216" s="68"/>
      <c r="Q216" s="63"/>
      <c r="R216" s="63"/>
      <c r="S216" s="63"/>
      <c r="T216" s="63"/>
      <c r="U216" s="68"/>
      <c r="V216" s="63"/>
      <c r="W216" s="63"/>
      <c r="X216" s="309"/>
      <c r="Y216" s="63"/>
      <c r="Z216" s="63"/>
      <c r="AA216" s="63"/>
      <c r="AB216" s="63"/>
      <c r="AC216" s="63"/>
      <c r="AD216" s="8"/>
      <c r="AE216" s="142"/>
      <c r="AF216" s="142"/>
      <c r="AG216" s="142"/>
      <c r="AH216" s="142"/>
      <c r="AI216" s="203">
        <v>11</v>
      </c>
    </row>
    <row r="217" spans="1:35" s="203" customFormat="1" ht="11.45" customHeight="1">
      <c r="A217" s="572"/>
      <c r="B217" s="68"/>
      <c r="C217" s="68"/>
      <c r="N217" s="63"/>
      <c r="O217" s="68"/>
      <c r="P217" s="68"/>
      <c r="Q217" s="63"/>
      <c r="R217" s="63"/>
      <c r="S217" s="63"/>
      <c r="T217" s="63"/>
      <c r="U217" s="68"/>
      <c r="V217" s="63"/>
      <c r="W217" s="63"/>
      <c r="X217" s="309"/>
      <c r="Y217" s="63"/>
      <c r="Z217" s="63"/>
      <c r="AA217" s="63"/>
      <c r="AB217" s="63"/>
      <c r="AC217" s="63"/>
      <c r="AD217" s="8"/>
      <c r="AE217" s="142"/>
      <c r="AF217" s="142"/>
      <c r="AG217" s="142"/>
      <c r="AH217" s="142"/>
      <c r="AI217" s="203">
        <v>11</v>
      </c>
    </row>
    <row r="218" spans="1:35" s="203" customFormat="1" ht="11.45" customHeight="1">
      <c r="A218" s="572"/>
      <c r="B218" s="68"/>
      <c r="C218" s="68"/>
      <c r="N218" s="63"/>
      <c r="O218" s="68"/>
      <c r="P218" s="68"/>
      <c r="Q218" s="63"/>
      <c r="R218" s="63"/>
      <c r="S218" s="63"/>
      <c r="T218" s="63"/>
      <c r="U218" s="68"/>
      <c r="V218" s="63"/>
      <c r="W218" s="63"/>
      <c r="X218" s="309"/>
      <c r="Y218" s="63"/>
      <c r="Z218" s="63"/>
      <c r="AA218" s="63"/>
      <c r="AB218" s="63"/>
      <c r="AC218" s="63"/>
      <c r="AD218" s="8"/>
      <c r="AE218" s="142"/>
      <c r="AF218" s="142"/>
      <c r="AG218" s="142"/>
      <c r="AH218" s="142"/>
      <c r="AI218" s="203">
        <v>11</v>
      </c>
    </row>
    <row r="219" spans="1:35" s="203" customFormat="1" ht="11.45" customHeight="1">
      <c r="A219" s="572"/>
      <c r="B219" s="68"/>
      <c r="C219" s="68"/>
      <c r="N219" s="63"/>
      <c r="O219" s="68"/>
      <c r="P219" s="68"/>
      <c r="Q219" s="63"/>
      <c r="R219" s="63"/>
      <c r="S219" s="63"/>
      <c r="T219" s="63"/>
      <c r="U219" s="68"/>
      <c r="V219" s="63"/>
      <c r="W219" s="63"/>
      <c r="X219" s="309"/>
      <c r="Y219" s="63"/>
      <c r="Z219" s="63"/>
      <c r="AA219" s="63"/>
      <c r="AB219" s="63"/>
      <c r="AC219" s="63"/>
      <c r="AD219" s="8"/>
      <c r="AE219" s="142"/>
      <c r="AF219" s="142"/>
      <c r="AG219" s="142"/>
      <c r="AH219" s="142"/>
      <c r="AI219" s="203">
        <v>11</v>
      </c>
    </row>
    <row r="220" spans="1:35" s="203" customFormat="1" ht="11.45" customHeight="1">
      <c r="A220" s="572"/>
      <c r="B220" s="68"/>
      <c r="C220" s="68"/>
      <c r="N220" s="63"/>
      <c r="O220" s="68"/>
      <c r="P220" s="68"/>
      <c r="Q220" s="63"/>
      <c r="R220" s="63"/>
      <c r="S220" s="63"/>
      <c r="T220" s="63"/>
      <c r="U220" s="68"/>
      <c r="V220" s="63"/>
      <c r="W220" s="63"/>
      <c r="X220" s="309"/>
      <c r="Y220" s="63"/>
      <c r="Z220" s="63"/>
      <c r="AA220" s="63"/>
      <c r="AB220" s="63"/>
      <c r="AC220" s="63"/>
      <c r="AD220" s="8"/>
      <c r="AE220" s="142"/>
      <c r="AF220" s="142"/>
      <c r="AG220" s="142"/>
      <c r="AH220" s="142"/>
      <c r="AI220" s="203">
        <v>11</v>
      </c>
    </row>
    <row r="221" spans="1:35" s="203" customFormat="1" ht="11.45" customHeight="1">
      <c r="A221" s="572"/>
      <c r="B221" s="68"/>
      <c r="C221" s="68"/>
      <c r="N221" s="63"/>
      <c r="O221" s="68"/>
      <c r="P221" s="68"/>
      <c r="Q221" s="63"/>
      <c r="R221" s="63"/>
      <c r="S221" s="63"/>
      <c r="T221" s="63"/>
      <c r="U221" s="68"/>
      <c r="V221" s="63"/>
      <c r="W221" s="63"/>
      <c r="X221" s="309"/>
      <c r="Y221" s="63"/>
      <c r="Z221" s="63"/>
      <c r="AA221" s="63"/>
      <c r="AB221" s="63"/>
      <c r="AC221" s="63"/>
      <c r="AD221" s="8"/>
      <c r="AE221" s="142"/>
      <c r="AF221" s="142"/>
      <c r="AG221" s="142"/>
      <c r="AH221" s="142"/>
      <c r="AI221" s="203">
        <v>11</v>
      </c>
    </row>
    <row r="222" spans="1:35" s="203" customFormat="1" ht="11.45" customHeight="1">
      <c r="A222" s="572"/>
      <c r="B222" s="68"/>
      <c r="C222" s="68"/>
      <c r="N222" s="63"/>
      <c r="O222" s="68"/>
      <c r="P222" s="68"/>
      <c r="Q222" s="63"/>
      <c r="R222" s="63"/>
      <c r="S222" s="63"/>
      <c r="T222" s="63"/>
      <c r="U222" s="68"/>
      <c r="V222" s="63"/>
      <c r="W222" s="63"/>
      <c r="X222" s="309"/>
      <c r="Y222" s="63"/>
      <c r="Z222" s="63"/>
      <c r="AA222" s="63"/>
      <c r="AB222" s="63"/>
      <c r="AC222" s="63"/>
      <c r="AD222" s="8"/>
      <c r="AE222" s="142"/>
      <c r="AF222" s="142"/>
      <c r="AG222" s="142"/>
      <c r="AH222" s="142"/>
      <c r="AI222" s="203">
        <v>11</v>
      </c>
    </row>
    <row r="223" spans="1:35" s="203" customFormat="1" ht="11.45" customHeight="1">
      <c r="A223" s="572"/>
      <c r="B223" s="68"/>
      <c r="C223" s="68"/>
      <c r="N223" s="63"/>
      <c r="O223" s="68"/>
      <c r="P223" s="68"/>
      <c r="Q223" s="63"/>
      <c r="R223" s="63"/>
      <c r="S223" s="63"/>
      <c r="T223" s="63"/>
      <c r="U223" s="68"/>
      <c r="V223" s="63"/>
      <c r="W223" s="63"/>
      <c r="X223" s="309"/>
      <c r="Y223" s="63"/>
      <c r="Z223" s="63"/>
      <c r="AA223" s="63"/>
      <c r="AB223" s="63"/>
      <c r="AC223" s="63"/>
      <c r="AD223" s="8"/>
      <c r="AE223" s="142"/>
      <c r="AF223" s="142"/>
      <c r="AG223" s="142"/>
      <c r="AH223" s="142"/>
      <c r="AI223" s="203">
        <v>11</v>
      </c>
    </row>
    <row r="224" spans="1:35" s="203" customFormat="1" ht="11.45" customHeight="1">
      <c r="A224" s="572"/>
      <c r="B224" s="68"/>
      <c r="C224" s="68"/>
      <c r="N224" s="63"/>
      <c r="O224" s="68"/>
      <c r="P224" s="68"/>
      <c r="Q224" s="63"/>
      <c r="R224" s="63"/>
      <c r="S224" s="63"/>
      <c r="T224" s="63"/>
      <c r="U224" s="68"/>
      <c r="V224" s="63"/>
      <c r="W224" s="63"/>
      <c r="X224" s="309"/>
      <c r="Y224" s="63"/>
      <c r="Z224" s="63"/>
      <c r="AA224" s="63"/>
      <c r="AB224" s="63"/>
      <c r="AC224" s="63"/>
      <c r="AD224" s="8"/>
      <c r="AE224" s="142"/>
      <c r="AF224" s="142"/>
      <c r="AG224" s="142"/>
      <c r="AH224" s="142"/>
      <c r="AI224" s="203">
        <v>11</v>
      </c>
    </row>
    <row r="225" spans="1:35" s="203" customFormat="1" ht="11.45" customHeight="1">
      <c r="A225" s="572"/>
      <c r="B225" s="68"/>
      <c r="C225" s="68"/>
      <c r="N225" s="63"/>
      <c r="O225" s="68"/>
      <c r="P225" s="68"/>
      <c r="Q225" s="63"/>
      <c r="R225" s="63"/>
      <c r="S225" s="63"/>
      <c r="T225" s="63"/>
      <c r="U225" s="68"/>
      <c r="V225" s="63"/>
      <c r="W225" s="63"/>
      <c r="X225" s="309"/>
      <c r="Y225" s="63"/>
      <c r="Z225" s="63"/>
      <c r="AA225" s="63"/>
      <c r="AB225" s="63"/>
      <c r="AC225" s="63"/>
      <c r="AD225" s="8"/>
      <c r="AE225" s="142"/>
      <c r="AF225" s="142"/>
      <c r="AG225" s="142"/>
      <c r="AH225" s="142"/>
      <c r="AI225" s="203">
        <v>11</v>
      </c>
    </row>
    <row r="226" spans="1:35" s="203" customFormat="1" ht="11.45" customHeight="1">
      <c r="A226" s="572"/>
      <c r="B226" s="68"/>
      <c r="C226" s="68"/>
      <c r="N226" s="63"/>
      <c r="O226" s="68"/>
      <c r="P226" s="68"/>
      <c r="Q226" s="63"/>
      <c r="R226" s="63"/>
      <c r="S226" s="63"/>
      <c r="T226" s="63"/>
      <c r="U226" s="68"/>
      <c r="V226" s="63"/>
      <c r="W226" s="63"/>
      <c r="X226" s="309"/>
      <c r="Y226" s="63"/>
      <c r="Z226" s="63"/>
      <c r="AA226" s="63"/>
      <c r="AB226" s="63"/>
      <c r="AC226" s="63"/>
      <c r="AD226" s="8"/>
      <c r="AE226" s="142"/>
      <c r="AF226" s="142"/>
      <c r="AG226" s="142"/>
      <c r="AH226" s="142"/>
      <c r="AI226" s="203">
        <v>11</v>
      </c>
    </row>
    <row r="227" spans="1:35" s="203" customFormat="1" ht="11.45" customHeight="1">
      <c r="A227" s="572"/>
      <c r="B227" s="68"/>
      <c r="C227" s="68"/>
      <c r="N227" s="63"/>
      <c r="O227" s="68"/>
      <c r="P227" s="68"/>
      <c r="Q227" s="63"/>
      <c r="R227" s="63"/>
      <c r="S227" s="63"/>
      <c r="T227" s="63"/>
      <c r="U227" s="68"/>
      <c r="V227" s="63"/>
      <c r="W227" s="63"/>
      <c r="X227" s="309"/>
      <c r="Y227" s="63"/>
      <c r="Z227" s="63"/>
      <c r="AA227" s="63"/>
      <c r="AB227" s="63"/>
      <c r="AC227" s="63"/>
      <c r="AD227" s="8"/>
      <c r="AE227" s="142"/>
      <c r="AF227" s="142"/>
      <c r="AG227" s="142"/>
      <c r="AH227" s="142"/>
      <c r="AI227" s="203">
        <v>11</v>
      </c>
    </row>
    <row r="228" spans="1:35" s="203" customFormat="1" ht="11.45" customHeight="1">
      <c r="A228" s="572"/>
      <c r="B228" s="68"/>
      <c r="C228" s="68"/>
      <c r="N228" s="63"/>
      <c r="O228" s="68"/>
      <c r="P228" s="68"/>
      <c r="Q228" s="63"/>
      <c r="R228" s="63"/>
      <c r="S228" s="63"/>
      <c r="T228" s="63"/>
      <c r="U228" s="68"/>
      <c r="V228" s="63"/>
      <c r="W228" s="63"/>
      <c r="X228" s="309"/>
      <c r="Y228" s="63"/>
      <c r="Z228" s="63"/>
      <c r="AA228" s="63"/>
      <c r="AB228" s="63"/>
      <c r="AC228" s="63"/>
      <c r="AD228" s="8"/>
      <c r="AE228" s="142"/>
      <c r="AF228" s="142"/>
      <c r="AG228" s="142"/>
      <c r="AH228" s="142"/>
      <c r="AI228" s="203">
        <v>11</v>
      </c>
    </row>
    <row r="229" spans="1:35" s="203" customFormat="1" ht="11.45" customHeight="1">
      <c r="A229" s="572"/>
      <c r="B229" s="68"/>
      <c r="C229" s="68"/>
      <c r="N229" s="63"/>
      <c r="O229" s="68"/>
      <c r="P229" s="68"/>
      <c r="Q229" s="63"/>
      <c r="R229" s="63"/>
      <c r="S229" s="63"/>
      <c r="T229" s="63"/>
      <c r="U229" s="68"/>
      <c r="V229" s="63"/>
      <c r="W229" s="63"/>
      <c r="X229" s="309"/>
      <c r="Y229" s="63"/>
      <c r="Z229" s="63"/>
      <c r="AA229" s="63"/>
      <c r="AB229" s="63"/>
      <c r="AC229" s="63"/>
      <c r="AD229" s="8"/>
      <c r="AE229" s="142"/>
      <c r="AF229" s="142"/>
      <c r="AG229" s="142"/>
      <c r="AH229" s="142"/>
      <c r="AI229" s="203">
        <v>11</v>
      </c>
    </row>
    <row r="230" spans="1:35" s="203" customFormat="1" ht="11.45" customHeight="1">
      <c r="A230" s="572"/>
      <c r="B230" s="68"/>
      <c r="C230" s="68"/>
      <c r="N230" s="63"/>
      <c r="O230" s="68"/>
      <c r="P230" s="68"/>
      <c r="Q230" s="63"/>
      <c r="R230" s="63"/>
      <c r="S230" s="63"/>
      <c r="T230" s="63"/>
      <c r="U230" s="68"/>
      <c r="V230" s="63"/>
      <c r="W230" s="63"/>
      <c r="X230" s="309"/>
      <c r="Y230" s="63"/>
      <c r="Z230" s="63"/>
      <c r="AA230" s="63"/>
      <c r="AB230" s="63"/>
      <c r="AC230" s="63"/>
      <c r="AD230" s="8"/>
      <c r="AE230" s="142"/>
      <c r="AF230" s="142"/>
      <c r="AG230" s="142"/>
      <c r="AH230" s="142"/>
      <c r="AI230" s="203">
        <v>11</v>
      </c>
    </row>
    <row r="231" spans="1:35" s="203" customFormat="1" ht="11.45" customHeight="1">
      <c r="A231" s="572"/>
      <c r="B231" s="68"/>
      <c r="C231" s="68"/>
      <c r="N231" s="63"/>
      <c r="O231" s="68"/>
      <c r="P231" s="68"/>
      <c r="Q231" s="63"/>
      <c r="R231" s="63"/>
      <c r="S231" s="63"/>
      <c r="T231" s="63"/>
      <c r="U231" s="68"/>
      <c r="V231" s="63"/>
      <c r="W231" s="63"/>
      <c r="X231" s="309"/>
      <c r="Y231" s="63"/>
      <c r="Z231" s="63"/>
      <c r="AA231" s="63"/>
      <c r="AB231" s="63"/>
      <c r="AC231" s="63"/>
      <c r="AD231" s="8"/>
      <c r="AE231" s="142"/>
      <c r="AF231" s="142"/>
      <c r="AG231" s="142"/>
      <c r="AH231" s="142"/>
      <c r="AI231" s="203">
        <v>11</v>
      </c>
    </row>
    <row r="232" spans="1:35" s="203" customFormat="1" ht="11.45" customHeight="1">
      <c r="A232" s="572"/>
      <c r="B232" s="68"/>
      <c r="C232" s="68"/>
      <c r="N232" s="63"/>
      <c r="O232" s="68"/>
      <c r="P232" s="68"/>
      <c r="Q232" s="63"/>
      <c r="R232" s="63"/>
      <c r="S232" s="63"/>
      <c r="T232" s="63"/>
      <c r="U232" s="68"/>
      <c r="V232" s="63"/>
      <c r="W232" s="63"/>
      <c r="X232" s="309"/>
      <c r="Y232" s="63"/>
      <c r="Z232" s="63"/>
      <c r="AA232" s="63"/>
      <c r="AB232" s="63"/>
      <c r="AC232" s="63"/>
      <c r="AD232" s="8"/>
      <c r="AE232" s="142"/>
      <c r="AF232" s="142"/>
      <c r="AG232" s="142"/>
      <c r="AH232" s="142"/>
      <c r="AI232" s="203">
        <v>11</v>
      </c>
    </row>
    <row r="233" spans="1:35" s="203" customFormat="1" ht="11.45" customHeight="1">
      <c r="A233" s="572"/>
      <c r="B233" s="68"/>
      <c r="C233" s="68"/>
      <c r="N233" s="63"/>
      <c r="O233" s="68"/>
      <c r="P233" s="68"/>
      <c r="Q233" s="63"/>
      <c r="R233" s="63"/>
      <c r="S233" s="63"/>
      <c r="T233" s="63"/>
      <c r="U233" s="68"/>
      <c r="V233" s="63"/>
      <c r="W233" s="63"/>
      <c r="X233" s="309"/>
      <c r="Y233" s="63"/>
      <c r="Z233" s="63"/>
      <c r="AA233" s="63"/>
      <c r="AB233" s="63"/>
      <c r="AC233" s="63"/>
      <c r="AD233" s="8"/>
      <c r="AE233" s="142"/>
      <c r="AF233" s="142"/>
      <c r="AG233" s="142"/>
      <c r="AH233" s="142"/>
      <c r="AI233" s="203">
        <v>11</v>
      </c>
    </row>
    <row r="234" spans="1:35" s="203" customFormat="1" ht="11.45" customHeight="1">
      <c r="A234" s="572"/>
      <c r="B234" s="68"/>
      <c r="C234" s="68"/>
      <c r="N234" s="63"/>
      <c r="O234" s="68"/>
      <c r="P234" s="68"/>
      <c r="Q234" s="63"/>
      <c r="R234" s="63"/>
      <c r="S234" s="63"/>
      <c r="T234" s="63"/>
      <c r="U234" s="68"/>
      <c r="V234" s="63"/>
      <c r="W234" s="63"/>
      <c r="X234" s="309"/>
      <c r="Y234" s="63"/>
      <c r="Z234" s="63"/>
      <c r="AA234" s="63"/>
      <c r="AB234" s="63"/>
      <c r="AC234" s="63"/>
      <c r="AD234" s="8"/>
      <c r="AE234" s="142"/>
      <c r="AF234" s="142"/>
      <c r="AG234" s="142"/>
      <c r="AH234" s="142"/>
      <c r="AI234" s="203">
        <v>11</v>
      </c>
    </row>
    <row r="235" spans="1:35" s="203" customFormat="1" ht="11.45" customHeight="1">
      <c r="A235" s="572"/>
      <c r="B235" s="68"/>
      <c r="C235" s="68"/>
      <c r="N235" s="63"/>
      <c r="O235" s="68"/>
      <c r="P235" s="68"/>
      <c r="Q235" s="63"/>
      <c r="R235" s="63"/>
      <c r="S235" s="63"/>
      <c r="T235" s="63"/>
      <c r="U235" s="68"/>
      <c r="V235" s="63"/>
      <c r="W235" s="63"/>
      <c r="X235" s="309"/>
      <c r="Y235" s="63"/>
      <c r="Z235" s="63"/>
      <c r="AA235" s="63"/>
      <c r="AB235" s="63"/>
      <c r="AC235" s="63"/>
      <c r="AD235" s="8"/>
      <c r="AE235" s="142"/>
      <c r="AF235" s="142"/>
      <c r="AG235" s="142"/>
      <c r="AH235" s="142"/>
      <c r="AI235" s="203">
        <v>11</v>
      </c>
    </row>
    <row r="236" spans="1:35" s="203" customFormat="1" ht="11.45" customHeight="1">
      <c r="A236" s="572"/>
      <c r="B236" s="68"/>
      <c r="C236" s="68"/>
      <c r="N236" s="63"/>
      <c r="O236" s="68"/>
      <c r="P236" s="68"/>
      <c r="Q236" s="63"/>
      <c r="R236" s="63"/>
      <c r="S236" s="63"/>
      <c r="T236" s="63"/>
      <c r="U236" s="68"/>
      <c r="V236" s="63"/>
      <c r="W236" s="63"/>
      <c r="X236" s="309"/>
      <c r="Y236" s="63"/>
      <c r="Z236" s="63"/>
      <c r="AA236" s="63"/>
      <c r="AB236" s="63"/>
      <c r="AC236" s="63"/>
      <c r="AD236" s="8"/>
      <c r="AE236" s="142"/>
      <c r="AF236" s="142"/>
      <c r="AG236" s="142"/>
      <c r="AH236" s="142"/>
      <c r="AI236" s="203">
        <v>11</v>
      </c>
    </row>
    <row r="237" spans="1:35" s="203" customFormat="1" ht="11.45" customHeight="1">
      <c r="A237" s="572"/>
      <c r="B237" s="68"/>
      <c r="C237" s="68"/>
      <c r="N237" s="63"/>
      <c r="O237" s="68"/>
      <c r="P237" s="68"/>
      <c r="Q237" s="63"/>
      <c r="R237" s="63"/>
      <c r="S237" s="63"/>
      <c r="T237" s="63"/>
      <c r="U237" s="68"/>
      <c r="V237" s="63"/>
      <c r="W237" s="63"/>
      <c r="X237" s="309"/>
      <c r="Y237" s="63"/>
      <c r="Z237" s="63"/>
      <c r="AA237" s="63"/>
      <c r="AB237" s="63"/>
      <c r="AC237" s="63"/>
      <c r="AD237" s="8"/>
      <c r="AE237" s="142"/>
      <c r="AF237" s="142"/>
      <c r="AG237" s="142"/>
      <c r="AH237" s="142"/>
      <c r="AI237" s="203">
        <v>11</v>
      </c>
    </row>
    <row r="238" spans="1:35" s="203" customFormat="1" ht="11.45" customHeight="1">
      <c r="A238" s="572"/>
      <c r="B238" s="68"/>
      <c r="C238" s="68"/>
      <c r="N238" s="63"/>
      <c r="O238" s="68"/>
      <c r="P238" s="68"/>
      <c r="Q238" s="63"/>
      <c r="R238" s="63"/>
      <c r="S238" s="63"/>
      <c r="T238" s="63"/>
      <c r="U238" s="68"/>
      <c r="V238" s="63"/>
      <c r="W238" s="63"/>
      <c r="X238" s="309"/>
      <c r="Y238" s="63"/>
      <c r="Z238" s="63"/>
      <c r="AA238" s="63"/>
      <c r="AB238" s="63"/>
      <c r="AC238" s="63"/>
      <c r="AD238" s="8"/>
      <c r="AE238" s="142"/>
      <c r="AF238" s="142"/>
      <c r="AG238" s="142"/>
      <c r="AH238" s="142"/>
      <c r="AI238" s="203">
        <v>11</v>
      </c>
    </row>
    <row r="239" spans="1:35" s="203" customFormat="1" ht="11.45" customHeight="1">
      <c r="A239" s="572"/>
      <c r="B239" s="68"/>
      <c r="C239" s="68"/>
      <c r="N239" s="63"/>
      <c r="O239" s="68"/>
      <c r="P239" s="68"/>
      <c r="Q239" s="63"/>
      <c r="R239" s="63"/>
      <c r="S239" s="63"/>
      <c r="T239" s="63"/>
      <c r="U239" s="68"/>
      <c r="V239" s="63"/>
      <c r="W239" s="63"/>
      <c r="X239" s="309"/>
      <c r="Y239" s="63"/>
      <c r="Z239" s="63"/>
      <c r="AA239" s="63"/>
      <c r="AB239" s="63"/>
      <c r="AC239" s="63"/>
      <c r="AD239" s="8"/>
      <c r="AE239" s="142"/>
      <c r="AF239" s="142"/>
      <c r="AG239" s="142"/>
      <c r="AH239" s="142"/>
      <c r="AI239" s="203">
        <v>11</v>
      </c>
    </row>
    <row r="240" spans="1:35" s="203" customFormat="1" ht="11.45" customHeight="1">
      <c r="A240" s="572"/>
      <c r="B240" s="68"/>
      <c r="C240" s="68"/>
      <c r="N240" s="63"/>
      <c r="O240" s="68"/>
      <c r="P240" s="68"/>
      <c r="Q240" s="63"/>
      <c r="R240" s="63"/>
      <c r="S240" s="63"/>
      <c r="T240" s="63"/>
      <c r="U240" s="68"/>
      <c r="V240" s="63"/>
      <c r="W240" s="63"/>
      <c r="X240" s="309"/>
      <c r="Y240" s="63"/>
      <c r="Z240" s="63"/>
      <c r="AA240" s="63"/>
      <c r="AB240" s="63"/>
      <c r="AC240" s="63"/>
      <c r="AD240" s="8"/>
      <c r="AE240" s="142"/>
      <c r="AF240" s="142"/>
      <c r="AG240" s="142"/>
      <c r="AH240" s="142"/>
      <c r="AI240" s="203">
        <v>11</v>
      </c>
    </row>
    <row r="241" spans="1:35" s="203" customFormat="1" ht="11.45" customHeight="1">
      <c r="A241" s="572"/>
      <c r="B241" s="68"/>
      <c r="C241" s="68"/>
      <c r="N241" s="63"/>
      <c r="O241" s="68"/>
      <c r="P241" s="68"/>
      <c r="Q241" s="63"/>
      <c r="R241" s="63"/>
      <c r="S241" s="63"/>
      <c r="T241" s="63"/>
      <c r="U241" s="68"/>
      <c r="V241" s="63"/>
      <c r="W241" s="63"/>
      <c r="X241" s="309"/>
      <c r="Y241" s="63"/>
      <c r="Z241" s="63"/>
      <c r="AA241" s="63"/>
      <c r="AB241" s="63"/>
      <c r="AC241" s="63"/>
      <c r="AD241" s="8"/>
      <c r="AE241" s="142"/>
      <c r="AF241" s="142"/>
      <c r="AG241" s="142"/>
      <c r="AH241" s="142"/>
      <c r="AI241" s="203">
        <v>11</v>
      </c>
    </row>
    <row r="242" spans="1:35" s="203" customFormat="1" ht="11.45" customHeight="1">
      <c r="A242" s="572"/>
      <c r="B242" s="68"/>
      <c r="C242" s="68"/>
      <c r="N242" s="63"/>
      <c r="O242" s="68"/>
      <c r="P242" s="68"/>
      <c r="Q242" s="63"/>
      <c r="R242" s="63"/>
      <c r="S242" s="63"/>
      <c r="T242" s="63"/>
      <c r="U242" s="68"/>
      <c r="V242" s="63"/>
      <c r="W242" s="63"/>
      <c r="X242" s="309"/>
      <c r="Y242" s="63"/>
      <c r="Z242" s="63"/>
      <c r="AA242" s="63"/>
      <c r="AB242" s="63"/>
      <c r="AC242" s="63"/>
      <c r="AD242" s="8"/>
      <c r="AE242" s="142"/>
      <c r="AF242" s="142"/>
      <c r="AG242" s="142"/>
      <c r="AH242" s="142"/>
      <c r="AI242" s="203">
        <v>11</v>
      </c>
    </row>
    <row r="243" spans="1:35" s="203" customFormat="1" ht="11.45" customHeight="1">
      <c r="A243" s="572"/>
      <c r="B243" s="68"/>
      <c r="C243" s="68"/>
      <c r="N243" s="63"/>
      <c r="O243" s="68"/>
      <c r="P243" s="68"/>
      <c r="Q243" s="63"/>
      <c r="R243" s="63"/>
      <c r="S243" s="63"/>
      <c r="T243" s="63"/>
      <c r="U243" s="68"/>
      <c r="V243" s="63"/>
      <c r="W243" s="63"/>
      <c r="X243" s="309"/>
      <c r="Y243" s="63"/>
      <c r="Z243" s="63"/>
      <c r="AA243" s="63"/>
      <c r="AB243" s="63"/>
      <c r="AC243" s="63"/>
      <c r="AD243" s="8"/>
      <c r="AE243" s="142"/>
      <c r="AF243" s="142"/>
      <c r="AG243" s="142"/>
      <c r="AH243" s="142"/>
      <c r="AI243" s="203">
        <v>11</v>
      </c>
    </row>
    <row r="244" spans="1:35" s="203" customFormat="1" ht="11.45" customHeight="1">
      <c r="A244" s="572"/>
      <c r="B244" s="68"/>
      <c r="C244" s="68"/>
      <c r="N244" s="63"/>
      <c r="O244" s="68"/>
      <c r="P244" s="68"/>
      <c r="Q244" s="63"/>
      <c r="R244" s="63"/>
      <c r="S244" s="63"/>
      <c r="T244" s="63"/>
      <c r="U244" s="68"/>
      <c r="V244" s="63"/>
      <c r="W244" s="63"/>
      <c r="X244" s="309"/>
      <c r="Y244" s="63"/>
      <c r="Z244" s="63"/>
      <c r="AA244" s="63"/>
      <c r="AB244" s="63"/>
      <c r="AC244" s="63"/>
      <c r="AD244" s="8"/>
      <c r="AE244" s="142"/>
      <c r="AF244" s="142"/>
      <c r="AG244" s="142"/>
      <c r="AH244" s="142"/>
      <c r="AI244" s="203">
        <v>11</v>
      </c>
    </row>
    <row r="245" spans="1:35" s="203" customFormat="1" ht="11.45" customHeight="1">
      <c r="A245" s="572"/>
      <c r="B245" s="68"/>
      <c r="C245" s="68"/>
      <c r="N245" s="63"/>
      <c r="O245" s="68"/>
      <c r="P245" s="68"/>
      <c r="Q245" s="63"/>
      <c r="R245" s="63"/>
      <c r="S245" s="63"/>
      <c r="T245" s="63"/>
      <c r="U245" s="68"/>
      <c r="V245" s="63"/>
      <c r="W245" s="63"/>
      <c r="X245" s="309"/>
      <c r="Y245" s="63"/>
      <c r="Z245" s="63"/>
      <c r="AA245" s="63"/>
      <c r="AB245" s="63"/>
      <c r="AC245" s="63"/>
      <c r="AD245" s="8"/>
      <c r="AE245" s="142"/>
      <c r="AF245" s="142"/>
      <c r="AG245" s="142"/>
      <c r="AH245" s="142"/>
      <c r="AI245" s="203">
        <v>11</v>
      </c>
    </row>
    <row r="246" spans="1:35" s="203" customFormat="1" ht="11.45" customHeight="1">
      <c r="A246" s="572"/>
      <c r="B246" s="68"/>
      <c r="C246" s="68"/>
      <c r="N246" s="63"/>
      <c r="O246" s="68"/>
      <c r="P246" s="68"/>
      <c r="Q246" s="63"/>
      <c r="R246" s="63"/>
      <c r="S246" s="63"/>
      <c r="T246" s="63"/>
      <c r="U246" s="68"/>
      <c r="V246" s="63"/>
      <c r="W246" s="63"/>
      <c r="X246" s="309"/>
      <c r="Y246" s="63"/>
      <c r="Z246" s="63"/>
      <c r="AA246" s="63"/>
      <c r="AB246" s="63"/>
      <c r="AC246" s="63"/>
      <c r="AD246" s="8"/>
      <c r="AE246" s="142"/>
      <c r="AF246" s="142"/>
      <c r="AG246" s="142"/>
      <c r="AH246" s="142"/>
      <c r="AI246" s="203">
        <v>11</v>
      </c>
    </row>
    <row r="247" spans="1:35" s="203" customFormat="1" ht="11.45" customHeight="1">
      <c r="A247" s="572"/>
      <c r="B247" s="68"/>
      <c r="C247" s="68"/>
      <c r="N247" s="63"/>
      <c r="O247" s="68"/>
      <c r="P247" s="68"/>
      <c r="Q247" s="63"/>
      <c r="R247" s="63"/>
      <c r="S247" s="63"/>
      <c r="T247" s="63"/>
      <c r="U247" s="68"/>
      <c r="V247" s="63"/>
      <c r="W247" s="63"/>
      <c r="X247" s="309"/>
      <c r="Y247" s="63"/>
      <c r="Z247" s="63"/>
      <c r="AA247" s="63"/>
      <c r="AB247" s="63"/>
      <c r="AC247" s="63"/>
      <c r="AD247" s="8"/>
      <c r="AE247" s="142"/>
      <c r="AF247" s="142"/>
      <c r="AG247" s="142"/>
      <c r="AH247" s="142"/>
      <c r="AI247" s="203">
        <v>11</v>
      </c>
    </row>
    <row r="248" spans="1:35" s="203" customFormat="1" ht="11.45" customHeight="1">
      <c r="A248" s="572"/>
      <c r="B248" s="68"/>
      <c r="C248" s="68"/>
      <c r="N248" s="63"/>
      <c r="O248" s="68"/>
      <c r="P248" s="68"/>
      <c r="Q248" s="63"/>
      <c r="R248" s="63"/>
      <c r="S248" s="63"/>
      <c r="T248" s="63"/>
      <c r="U248" s="68"/>
      <c r="V248" s="63"/>
      <c r="W248" s="63"/>
      <c r="X248" s="309"/>
      <c r="Y248" s="63"/>
      <c r="Z248" s="63"/>
      <c r="AA248" s="63"/>
      <c r="AB248" s="63"/>
      <c r="AC248" s="63"/>
      <c r="AD248" s="8"/>
      <c r="AE248" s="142"/>
      <c r="AF248" s="142"/>
      <c r="AG248" s="142"/>
      <c r="AH248" s="142"/>
      <c r="AI248" s="203">
        <v>11</v>
      </c>
    </row>
    <row r="249" spans="1:35" s="203" customFormat="1" ht="11.45" customHeight="1">
      <c r="A249" s="572"/>
      <c r="B249" s="68"/>
      <c r="C249" s="68"/>
      <c r="N249" s="63"/>
      <c r="O249" s="68"/>
      <c r="P249" s="68"/>
      <c r="Q249" s="63"/>
      <c r="R249" s="63"/>
      <c r="S249" s="63"/>
      <c r="T249" s="63"/>
      <c r="U249" s="68"/>
      <c r="V249" s="63"/>
      <c r="W249" s="63"/>
      <c r="X249" s="309"/>
      <c r="Y249" s="63"/>
      <c r="Z249" s="63"/>
      <c r="AA249" s="63"/>
      <c r="AB249" s="63"/>
      <c r="AC249" s="63"/>
      <c r="AD249" s="8"/>
      <c r="AE249" s="142"/>
      <c r="AF249" s="142"/>
      <c r="AG249" s="142"/>
      <c r="AH249" s="142"/>
      <c r="AI249" s="203">
        <v>11</v>
      </c>
    </row>
    <row r="250" spans="1:35" s="203" customFormat="1" ht="11.45" customHeight="1">
      <c r="A250" s="572"/>
      <c r="B250" s="68"/>
      <c r="C250" s="68"/>
      <c r="N250" s="63"/>
      <c r="O250" s="68"/>
      <c r="P250" s="68"/>
      <c r="Q250" s="63"/>
      <c r="R250" s="63"/>
      <c r="S250" s="63"/>
      <c r="T250" s="63"/>
      <c r="U250" s="68"/>
      <c r="V250" s="63"/>
      <c r="W250" s="63"/>
      <c r="X250" s="309"/>
      <c r="Y250" s="63"/>
      <c r="Z250" s="63"/>
      <c r="AA250" s="63"/>
      <c r="AB250" s="63"/>
      <c r="AC250" s="63"/>
      <c r="AD250" s="8"/>
      <c r="AE250" s="142"/>
      <c r="AF250" s="142"/>
      <c r="AG250" s="142"/>
      <c r="AH250" s="142"/>
      <c r="AI250" s="203">
        <v>11</v>
      </c>
    </row>
    <row r="251" spans="1:35" s="203" customFormat="1" ht="11.45" customHeight="1">
      <c r="A251" s="572"/>
      <c r="B251" s="68"/>
      <c r="C251" s="68"/>
      <c r="N251" s="63"/>
      <c r="O251" s="68"/>
      <c r="P251" s="68"/>
      <c r="Q251" s="63"/>
      <c r="R251" s="63"/>
      <c r="S251" s="63"/>
      <c r="T251" s="63"/>
      <c r="U251" s="68"/>
      <c r="V251" s="63"/>
      <c r="W251" s="63"/>
      <c r="X251" s="309"/>
      <c r="Y251" s="63"/>
      <c r="Z251" s="63"/>
      <c r="AA251" s="63"/>
      <c r="AB251" s="63"/>
      <c r="AC251" s="63"/>
      <c r="AD251" s="8"/>
      <c r="AE251" s="142"/>
      <c r="AF251" s="142"/>
      <c r="AG251" s="142"/>
      <c r="AH251" s="142"/>
      <c r="AI251" s="203">
        <v>11</v>
      </c>
    </row>
    <row r="252" spans="1:35" s="203" customFormat="1" ht="11.45" customHeight="1">
      <c r="A252" s="572"/>
      <c r="B252" s="68"/>
      <c r="C252" s="68"/>
      <c r="N252" s="63"/>
      <c r="O252" s="68"/>
      <c r="P252" s="68"/>
      <c r="Q252" s="63"/>
      <c r="R252" s="63"/>
      <c r="S252" s="63"/>
      <c r="T252" s="63"/>
      <c r="U252" s="68"/>
      <c r="V252" s="63"/>
      <c r="W252" s="63"/>
      <c r="X252" s="309"/>
      <c r="Y252" s="63"/>
      <c r="Z252" s="63"/>
      <c r="AA252" s="63"/>
      <c r="AB252" s="63"/>
      <c r="AC252" s="63"/>
      <c r="AD252" s="8"/>
      <c r="AE252" s="142"/>
      <c r="AF252" s="142"/>
      <c r="AG252" s="142"/>
      <c r="AH252" s="142"/>
      <c r="AI252" s="203">
        <v>11</v>
      </c>
    </row>
    <row r="253" spans="1:35" s="203" customFormat="1" ht="11.45" customHeight="1">
      <c r="A253" s="572"/>
      <c r="B253" s="68"/>
      <c r="C253" s="68"/>
      <c r="N253" s="63"/>
      <c r="O253" s="68"/>
      <c r="P253" s="68"/>
      <c r="Q253" s="63"/>
      <c r="R253" s="63"/>
      <c r="S253" s="63"/>
      <c r="T253" s="63"/>
      <c r="U253" s="68"/>
      <c r="V253" s="63"/>
      <c r="W253" s="63"/>
      <c r="X253" s="309"/>
      <c r="Y253" s="63"/>
      <c r="Z253" s="63"/>
      <c r="AA253" s="63"/>
      <c r="AB253" s="63"/>
      <c r="AC253" s="63"/>
      <c r="AD253" s="8"/>
      <c r="AE253" s="142"/>
      <c r="AF253" s="142"/>
      <c r="AG253" s="142"/>
      <c r="AH253" s="142"/>
      <c r="AI253" s="203">
        <v>11</v>
      </c>
    </row>
    <row r="254" spans="1:35" s="203" customFormat="1" ht="11.45" customHeight="1">
      <c r="A254" s="572"/>
      <c r="B254" s="68"/>
      <c r="C254" s="68"/>
      <c r="N254" s="63"/>
      <c r="O254" s="68"/>
      <c r="P254" s="68"/>
      <c r="Q254" s="63"/>
      <c r="R254" s="63"/>
      <c r="S254" s="63"/>
      <c r="T254" s="63"/>
      <c r="U254" s="68"/>
      <c r="V254" s="63"/>
      <c r="W254" s="63"/>
      <c r="X254" s="309"/>
      <c r="Y254" s="63"/>
      <c r="Z254" s="63"/>
      <c r="AA254" s="63"/>
      <c r="AB254" s="63"/>
      <c r="AC254" s="63"/>
      <c r="AD254" s="8"/>
      <c r="AE254" s="142"/>
      <c r="AF254" s="142"/>
      <c r="AG254" s="142"/>
      <c r="AH254" s="142"/>
      <c r="AI254" s="203">
        <v>11</v>
      </c>
    </row>
    <row r="255" spans="1:35" s="203" customFormat="1" ht="11.45" customHeight="1">
      <c r="A255" s="572"/>
      <c r="B255" s="68"/>
      <c r="C255" s="68"/>
      <c r="N255" s="63"/>
      <c r="O255" s="68"/>
      <c r="P255" s="68"/>
      <c r="Q255" s="63"/>
      <c r="R255" s="63"/>
      <c r="S255" s="63"/>
      <c r="T255" s="63"/>
      <c r="U255" s="68"/>
      <c r="V255" s="63"/>
      <c r="W255" s="63"/>
      <c r="X255" s="309"/>
      <c r="Y255" s="63"/>
      <c r="Z255" s="63"/>
      <c r="AA255" s="63"/>
      <c r="AB255" s="63"/>
      <c r="AC255" s="63"/>
      <c r="AD255" s="8"/>
      <c r="AE255" s="142"/>
      <c r="AF255" s="142"/>
      <c r="AG255" s="142"/>
      <c r="AH255" s="142"/>
      <c r="AI255" s="203">
        <v>11</v>
      </c>
    </row>
    <row r="256" spans="1:35" s="203" customFormat="1" ht="11.45" customHeight="1">
      <c r="A256" s="572"/>
      <c r="B256" s="68"/>
      <c r="C256" s="68"/>
      <c r="N256" s="63"/>
      <c r="O256" s="68"/>
      <c r="P256" s="68"/>
      <c r="Q256" s="63"/>
      <c r="R256" s="63"/>
      <c r="S256" s="63"/>
      <c r="T256" s="63"/>
      <c r="U256" s="68"/>
      <c r="V256" s="63"/>
      <c r="W256" s="63"/>
      <c r="X256" s="309"/>
      <c r="Y256" s="63"/>
      <c r="Z256" s="63"/>
      <c r="AA256" s="63"/>
      <c r="AB256" s="63"/>
      <c r="AC256" s="63"/>
      <c r="AD256" s="8"/>
      <c r="AE256" s="142"/>
      <c r="AF256" s="142"/>
      <c r="AG256" s="142"/>
      <c r="AH256" s="142"/>
      <c r="AI256" s="203">
        <v>11</v>
      </c>
    </row>
    <row r="257" spans="1:35" s="203" customFormat="1" ht="11.45" customHeight="1">
      <c r="A257" s="572"/>
      <c r="B257" s="68"/>
      <c r="C257" s="68"/>
      <c r="N257" s="63"/>
      <c r="O257" s="68"/>
      <c r="P257" s="68"/>
      <c r="Q257" s="63"/>
      <c r="R257" s="63"/>
      <c r="S257" s="63"/>
      <c r="T257" s="63"/>
      <c r="U257" s="68"/>
      <c r="V257" s="63"/>
      <c r="W257" s="63"/>
      <c r="X257" s="309"/>
      <c r="Y257" s="63"/>
      <c r="Z257" s="63"/>
      <c r="AA257" s="63"/>
      <c r="AB257" s="63"/>
      <c r="AC257" s="63"/>
      <c r="AD257" s="8"/>
      <c r="AE257" s="142"/>
      <c r="AF257" s="142"/>
      <c r="AG257" s="142"/>
      <c r="AH257" s="142"/>
      <c r="AI257" s="203">
        <v>11</v>
      </c>
    </row>
    <row r="258" spans="1:35" s="203" customFormat="1" ht="11.45" customHeight="1">
      <c r="A258" s="572"/>
      <c r="B258" s="68"/>
      <c r="C258" s="68"/>
      <c r="N258" s="63"/>
      <c r="O258" s="68"/>
      <c r="P258" s="68"/>
      <c r="Q258" s="63"/>
      <c r="R258" s="63"/>
      <c r="S258" s="63"/>
      <c r="T258" s="63"/>
      <c r="U258" s="68"/>
      <c r="V258" s="63"/>
      <c r="W258" s="63"/>
      <c r="X258" s="309"/>
      <c r="Y258" s="63"/>
      <c r="Z258" s="63"/>
      <c r="AA258" s="63"/>
      <c r="AB258" s="63"/>
      <c r="AC258" s="63"/>
      <c r="AD258" s="8"/>
      <c r="AE258" s="142"/>
      <c r="AF258" s="142"/>
      <c r="AG258" s="142"/>
      <c r="AH258" s="142"/>
      <c r="AI258" s="203">
        <v>11</v>
      </c>
    </row>
    <row r="259" spans="1:35" s="203" customFormat="1" ht="11.45" customHeight="1">
      <c r="A259" s="572"/>
      <c r="B259" s="68"/>
      <c r="C259" s="68"/>
      <c r="N259" s="63"/>
      <c r="O259" s="68"/>
      <c r="P259" s="68"/>
      <c r="Q259" s="63"/>
      <c r="R259" s="63"/>
      <c r="S259" s="63"/>
      <c r="T259" s="63"/>
      <c r="U259" s="68"/>
      <c r="V259" s="63"/>
      <c r="W259" s="63"/>
      <c r="X259" s="309"/>
      <c r="Y259" s="63"/>
      <c r="Z259" s="63"/>
      <c r="AA259" s="63"/>
      <c r="AB259" s="63"/>
      <c r="AC259" s="63"/>
      <c r="AD259" s="8"/>
      <c r="AE259" s="142"/>
      <c r="AF259" s="142"/>
      <c r="AG259" s="142"/>
      <c r="AH259" s="142"/>
      <c r="AI259" s="203">
        <v>11</v>
      </c>
    </row>
    <row r="260" spans="1:35" s="203" customFormat="1" ht="11.45" customHeight="1">
      <c r="A260" s="572"/>
      <c r="B260" s="68"/>
      <c r="C260" s="68"/>
      <c r="N260" s="63"/>
      <c r="O260" s="68"/>
      <c r="P260" s="68"/>
      <c r="Q260" s="63"/>
      <c r="R260" s="63"/>
      <c r="S260" s="63"/>
      <c r="T260" s="63"/>
      <c r="U260" s="68"/>
      <c r="V260" s="63"/>
      <c r="W260" s="63"/>
      <c r="X260" s="309"/>
      <c r="Y260" s="63"/>
      <c r="Z260" s="63"/>
      <c r="AA260" s="63"/>
      <c r="AB260" s="63"/>
      <c r="AC260" s="63"/>
      <c r="AD260" s="8"/>
      <c r="AE260" s="142"/>
      <c r="AF260" s="142"/>
      <c r="AG260" s="142"/>
      <c r="AH260" s="142"/>
      <c r="AI260" s="203">
        <v>11</v>
      </c>
    </row>
    <row r="261" spans="1:35" s="203" customFormat="1" ht="11.45" customHeight="1">
      <c r="A261" s="572"/>
      <c r="B261" s="68"/>
      <c r="C261" s="68"/>
      <c r="N261" s="63"/>
      <c r="O261" s="68"/>
      <c r="P261" s="68"/>
      <c r="Q261" s="63"/>
      <c r="R261" s="63"/>
      <c r="S261" s="63"/>
      <c r="T261" s="63"/>
      <c r="U261" s="68"/>
      <c r="V261" s="63"/>
      <c r="W261" s="63"/>
      <c r="X261" s="309"/>
      <c r="Y261" s="63"/>
      <c r="Z261" s="63"/>
      <c r="AA261" s="63"/>
      <c r="AB261" s="63"/>
      <c r="AC261" s="63"/>
      <c r="AD261" s="8"/>
      <c r="AE261" s="142"/>
      <c r="AF261" s="142"/>
      <c r="AG261" s="142"/>
      <c r="AH261" s="142"/>
      <c r="AI261" s="203">
        <v>11</v>
      </c>
    </row>
    <row r="262" spans="1:35" s="203" customFormat="1" ht="11.45" customHeight="1">
      <c r="A262" s="572"/>
      <c r="B262" s="68"/>
      <c r="C262" s="68"/>
      <c r="N262" s="63"/>
      <c r="O262" s="68"/>
      <c r="P262" s="68"/>
      <c r="Q262" s="63"/>
      <c r="R262" s="63"/>
      <c r="S262" s="63"/>
      <c r="T262" s="63"/>
      <c r="U262" s="68"/>
      <c r="V262" s="63"/>
      <c r="W262" s="63"/>
      <c r="X262" s="309"/>
      <c r="Y262" s="63"/>
      <c r="Z262" s="63"/>
      <c r="AA262" s="63"/>
      <c r="AB262" s="63"/>
      <c r="AC262" s="63"/>
      <c r="AD262" s="8"/>
      <c r="AE262" s="142"/>
      <c r="AF262" s="142"/>
      <c r="AG262" s="142"/>
      <c r="AH262" s="142"/>
      <c r="AI262" s="203">
        <v>11</v>
      </c>
    </row>
    <row r="263" spans="1:35" s="203" customFormat="1" ht="11.45" customHeight="1">
      <c r="A263" s="572"/>
      <c r="B263" s="68"/>
      <c r="C263" s="68"/>
      <c r="N263" s="63"/>
      <c r="O263" s="68"/>
      <c r="P263" s="68"/>
      <c r="Q263" s="63"/>
      <c r="R263" s="63"/>
      <c r="S263" s="63"/>
      <c r="T263" s="63"/>
      <c r="U263" s="68"/>
      <c r="V263" s="63"/>
      <c r="W263" s="63"/>
      <c r="X263" s="309"/>
      <c r="Y263" s="63"/>
      <c r="Z263" s="63"/>
      <c r="AA263" s="63"/>
      <c r="AB263" s="63"/>
      <c r="AC263" s="63"/>
      <c r="AD263" s="8"/>
      <c r="AE263" s="142"/>
      <c r="AF263" s="142"/>
      <c r="AG263" s="142"/>
      <c r="AH263" s="142"/>
      <c r="AI263" s="203">
        <v>11</v>
      </c>
    </row>
    <row r="264" spans="1:35" s="203" customFormat="1" ht="11.45" customHeight="1">
      <c r="A264" s="572"/>
      <c r="B264" s="68"/>
      <c r="C264" s="68"/>
      <c r="N264" s="63"/>
      <c r="O264" s="68"/>
      <c r="P264" s="68"/>
      <c r="Q264" s="63"/>
      <c r="R264" s="63"/>
      <c r="S264" s="63"/>
      <c r="T264" s="63"/>
      <c r="U264" s="68"/>
      <c r="V264" s="63"/>
      <c r="W264" s="63"/>
      <c r="X264" s="309"/>
      <c r="Y264" s="63"/>
      <c r="Z264" s="63"/>
      <c r="AA264" s="63"/>
      <c r="AB264" s="63"/>
      <c r="AC264" s="63"/>
      <c r="AD264" s="8"/>
      <c r="AE264" s="142"/>
      <c r="AF264" s="142"/>
      <c r="AG264" s="142"/>
      <c r="AH264" s="142"/>
      <c r="AI264" s="203">
        <v>11</v>
      </c>
    </row>
    <row r="265" spans="1:35" s="203" customFormat="1" ht="11.45" customHeight="1">
      <c r="A265" s="572"/>
      <c r="B265" s="68"/>
      <c r="C265" s="68"/>
      <c r="N265" s="63"/>
      <c r="O265" s="68"/>
      <c r="P265" s="68"/>
      <c r="Q265" s="63"/>
      <c r="R265" s="63"/>
      <c r="S265" s="63"/>
      <c r="T265" s="63"/>
      <c r="U265" s="68"/>
      <c r="V265" s="63"/>
      <c r="W265" s="63"/>
      <c r="X265" s="309"/>
      <c r="Y265" s="63"/>
      <c r="Z265" s="63"/>
      <c r="AA265" s="63"/>
      <c r="AB265" s="63"/>
      <c r="AC265" s="63"/>
      <c r="AD265" s="8"/>
      <c r="AE265" s="142"/>
      <c r="AF265" s="142"/>
      <c r="AG265" s="142"/>
      <c r="AH265" s="142"/>
      <c r="AI265" s="203">
        <v>11</v>
      </c>
    </row>
    <row r="266" spans="1:35" s="203" customFormat="1" ht="11.45" customHeight="1">
      <c r="A266" s="572"/>
      <c r="B266" s="68"/>
      <c r="C266" s="68"/>
      <c r="N266" s="63"/>
      <c r="O266" s="68"/>
      <c r="P266" s="68"/>
      <c r="Q266" s="63"/>
      <c r="R266" s="63"/>
      <c r="S266" s="63"/>
      <c r="T266" s="63"/>
      <c r="U266" s="68"/>
      <c r="V266" s="63"/>
      <c r="W266" s="63"/>
      <c r="X266" s="309"/>
      <c r="Y266" s="63"/>
      <c r="Z266" s="63"/>
      <c r="AA266" s="63"/>
      <c r="AB266" s="63"/>
      <c r="AC266" s="63"/>
      <c r="AD266" s="8"/>
      <c r="AE266" s="142"/>
      <c r="AF266" s="142"/>
      <c r="AG266" s="142"/>
      <c r="AH266" s="142"/>
      <c r="AI266" s="203">
        <v>11</v>
      </c>
    </row>
    <row r="267" spans="1:35" s="203" customFormat="1" ht="11.45" customHeight="1">
      <c r="A267" s="572"/>
      <c r="B267" s="68"/>
      <c r="C267" s="68"/>
      <c r="N267" s="63"/>
      <c r="O267" s="68"/>
      <c r="P267" s="68"/>
      <c r="Q267" s="63"/>
      <c r="R267" s="63"/>
      <c r="S267" s="63"/>
      <c r="T267" s="63"/>
      <c r="U267" s="68"/>
      <c r="V267" s="63"/>
      <c r="W267" s="63"/>
      <c r="X267" s="309"/>
      <c r="Y267" s="63"/>
      <c r="Z267" s="63"/>
      <c r="AA267" s="63"/>
      <c r="AB267" s="63"/>
      <c r="AC267" s="63"/>
      <c r="AD267" s="8"/>
      <c r="AE267" s="142"/>
      <c r="AF267" s="142"/>
      <c r="AG267" s="142"/>
      <c r="AH267" s="142"/>
      <c r="AI267" s="203">
        <v>11</v>
      </c>
    </row>
    <row r="268" spans="1:35" s="203" customFormat="1" ht="11.45" customHeight="1">
      <c r="A268" s="572"/>
      <c r="B268" s="68"/>
      <c r="C268" s="68"/>
      <c r="N268" s="63"/>
      <c r="O268" s="68"/>
      <c r="P268" s="68"/>
      <c r="Q268" s="63"/>
      <c r="R268" s="63"/>
      <c r="S268" s="63"/>
      <c r="T268" s="63"/>
      <c r="U268" s="68"/>
      <c r="V268" s="63"/>
      <c r="W268" s="63"/>
      <c r="X268" s="309"/>
      <c r="Y268" s="63"/>
      <c r="Z268" s="63"/>
      <c r="AA268" s="63"/>
      <c r="AB268" s="63"/>
      <c r="AC268" s="63"/>
      <c r="AD268" s="8"/>
      <c r="AE268" s="142"/>
      <c r="AF268" s="142"/>
      <c r="AG268" s="142"/>
      <c r="AH268" s="142"/>
      <c r="AI268" s="203">
        <v>11</v>
      </c>
    </row>
    <row r="269" spans="1:35" s="203" customFormat="1" ht="11.45" customHeight="1">
      <c r="A269" s="572"/>
      <c r="B269" s="68"/>
      <c r="C269" s="68"/>
      <c r="N269" s="63"/>
      <c r="O269" s="68"/>
      <c r="P269" s="68"/>
      <c r="Q269" s="63"/>
      <c r="R269" s="63"/>
      <c r="S269" s="63"/>
      <c r="T269" s="63"/>
      <c r="U269" s="68"/>
      <c r="V269" s="63"/>
      <c r="W269" s="63"/>
      <c r="X269" s="309"/>
      <c r="Y269" s="63"/>
      <c r="Z269" s="63"/>
      <c r="AA269" s="63"/>
      <c r="AB269" s="63"/>
      <c r="AC269" s="63"/>
      <c r="AD269" s="8"/>
      <c r="AE269" s="142"/>
      <c r="AF269" s="142"/>
      <c r="AG269" s="142"/>
      <c r="AH269" s="142"/>
      <c r="AI269" s="203">
        <v>11</v>
      </c>
    </row>
    <row r="270" spans="1:35" s="203" customFormat="1" ht="11.45" customHeight="1">
      <c r="A270" s="572"/>
      <c r="B270" s="68"/>
      <c r="C270" s="68"/>
      <c r="N270" s="63"/>
      <c r="O270" s="68"/>
      <c r="P270" s="68"/>
      <c r="Q270" s="63"/>
      <c r="R270" s="63"/>
      <c r="S270" s="63"/>
      <c r="T270" s="63"/>
      <c r="U270" s="68"/>
      <c r="V270" s="63"/>
      <c r="W270" s="63"/>
      <c r="X270" s="309"/>
      <c r="Y270" s="63"/>
      <c r="Z270" s="63"/>
      <c r="AA270" s="63"/>
      <c r="AB270" s="63"/>
      <c r="AC270" s="63"/>
      <c r="AD270" s="8"/>
      <c r="AE270" s="142"/>
      <c r="AF270" s="142"/>
      <c r="AG270" s="142"/>
      <c r="AH270" s="142"/>
      <c r="AI270" s="203">
        <v>11</v>
      </c>
    </row>
    <row r="271" spans="1:35" s="203" customFormat="1" ht="11.45" customHeight="1">
      <c r="A271" s="572"/>
      <c r="B271" s="68"/>
      <c r="C271" s="68"/>
      <c r="N271" s="63"/>
      <c r="O271" s="68"/>
      <c r="P271" s="68"/>
      <c r="Q271" s="63"/>
      <c r="R271" s="63"/>
      <c r="S271" s="63"/>
      <c r="T271" s="63"/>
      <c r="U271" s="68"/>
      <c r="V271" s="63"/>
      <c r="W271" s="63"/>
      <c r="X271" s="309"/>
      <c r="Y271" s="63"/>
      <c r="Z271" s="63"/>
      <c r="AA271" s="63"/>
      <c r="AB271" s="63"/>
      <c r="AC271" s="63"/>
      <c r="AD271" s="8"/>
      <c r="AE271" s="142"/>
      <c r="AF271" s="142"/>
      <c r="AG271" s="142"/>
      <c r="AH271" s="142"/>
      <c r="AI271" s="203">
        <v>11</v>
      </c>
    </row>
    <row r="272" spans="1:35" s="203" customFormat="1" ht="11.45" customHeight="1">
      <c r="A272" s="572"/>
      <c r="B272" s="68"/>
      <c r="C272" s="68"/>
      <c r="N272" s="63"/>
      <c r="O272" s="68"/>
      <c r="P272" s="68"/>
      <c r="Q272" s="63"/>
      <c r="R272" s="63"/>
      <c r="S272" s="63"/>
      <c r="T272" s="63"/>
      <c r="U272" s="68"/>
      <c r="V272" s="63"/>
      <c r="W272" s="63"/>
      <c r="X272" s="309"/>
      <c r="Y272" s="63"/>
      <c r="Z272" s="63"/>
      <c r="AA272" s="63"/>
      <c r="AB272" s="63"/>
      <c r="AC272" s="63"/>
      <c r="AD272" s="8"/>
      <c r="AE272" s="142"/>
      <c r="AF272" s="142"/>
      <c r="AG272" s="142"/>
      <c r="AH272" s="142"/>
      <c r="AI272" s="203">
        <v>11</v>
      </c>
    </row>
    <row r="273" spans="1:35" s="203" customFormat="1" ht="11.45" customHeight="1">
      <c r="A273" s="572"/>
      <c r="B273" s="68"/>
      <c r="C273" s="68"/>
      <c r="N273" s="63"/>
      <c r="O273" s="68"/>
      <c r="P273" s="68"/>
      <c r="Q273" s="63"/>
      <c r="R273" s="63"/>
      <c r="S273" s="63"/>
      <c r="T273" s="63"/>
      <c r="U273" s="68"/>
      <c r="V273" s="63"/>
      <c r="W273" s="63"/>
      <c r="X273" s="309"/>
      <c r="Y273" s="63"/>
      <c r="Z273" s="63"/>
      <c r="AA273" s="63"/>
      <c r="AB273" s="63"/>
      <c r="AC273" s="63"/>
      <c r="AD273" s="8"/>
      <c r="AE273" s="142"/>
      <c r="AF273" s="142"/>
      <c r="AG273" s="142"/>
      <c r="AH273" s="142"/>
      <c r="AI273" s="203">
        <v>11</v>
      </c>
    </row>
    <row r="274" spans="1:35" s="203" customFormat="1" ht="11.45" customHeight="1">
      <c r="A274" s="572"/>
      <c r="B274" s="68"/>
      <c r="C274" s="68"/>
      <c r="N274" s="63"/>
      <c r="O274" s="68"/>
      <c r="P274" s="68"/>
      <c r="Q274" s="63"/>
      <c r="R274" s="63"/>
      <c r="S274" s="63"/>
      <c r="T274" s="63"/>
      <c r="U274" s="68"/>
      <c r="V274" s="63"/>
      <c r="W274" s="63"/>
      <c r="X274" s="309"/>
      <c r="Y274" s="63"/>
      <c r="Z274" s="63"/>
      <c r="AA274" s="63"/>
      <c r="AB274" s="63"/>
      <c r="AC274" s="63"/>
      <c r="AD274" s="8"/>
      <c r="AE274" s="142"/>
      <c r="AF274" s="142"/>
      <c r="AG274" s="142"/>
      <c r="AH274" s="142"/>
      <c r="AI274" s="203">
        <v>11</v>
      </c>
    </row>
    <row r="275" spans="1:35" s="203" customFormat="1" ht="11.45" customHeight="1">
      <c r="A275" s="572"/>
      <c r="B275" s="68"/>
      <c r="C275" s="68"/>
      <c r="N275" s="63"/>
      <c r="O275" s="68"/>
      <c r="P275" s="68"/>
      <c r="Q275" s="63"/>
      <c r="R275" s="63"/>
      <c r="S275" s="63"/>
      <c r="T275" s="63"/>
      <c r="U275" s="68"/>
      <c r="V275" s="63"/>
      <c r="W275" s="63"/>
      <c r="X275" s="309"/>
      <c r="Y275" s="63"/>
      <c r="Z275" s="63"/>
      <c r="AA275" s="63"/>
      <c r="AB275" s="63"/>
      <c r="AC275" s="63"/>
      <c r="AD275" s="8"/>
      <c r="AE275" s="142"/>
      <c r="AF275" s="142"/>
      <c r="AG275" s="142"/>
      <c r="AH275" s="142"/>
      <c r="AI275" s="203">
        <v>11</v>
      </c>
    </row>
    <row r="276" spans="1:35" s="203" customFormat="1" ht="11.45" customHeight="1">
      <c r="A276" s="572"/>
      <c r="B276" s="68"/>
      <c r="C276" s="68"/>
      <c r="N276" s="63"/>
      <c r="O276" s="68"/>
      <c r="P276" s="68"/>
      <c r="Q276" s="63"/>
      <c r="R276" s="63"/>
      <c r="S276" s="63"/>
      <c r="T276" s="63"/>
      <c r="U276" s="68"/>
      <c r="V276" s="63"/>
      <c r="W276" s="63"/>
      <c r="X276" s="309"/>
      <c r="Y276" s="63"/>
      <c r="Z276" s="63"/>
      <c r="AA276" s="63"/>
      <c r="AB276" s="63"/>
      <c r="AC276" s="63"/>
      <c r="AD276" s="8"/>
      <c r="AE276" s="142"/>
      <c r="AF276" s="142"/>
      <c r="AG276" s="142"/>
      <c r="AH276" s="142"/>
      <c r="AI276" s="203">
        <v>11</v>
      </c>
    </row>
    <row r="277" spans="1:35" s="203" customFormat="1" ht="11.45" customHeight="1">
      <c r="A277" s="572"/>
      <c r="B277" s="68"/>
      <c r="C277" s="68"/>
      <c r="N277" s="63"/>
      <c r="O277" s="68"/>
      <c r="P277" s="68"/>
      <c r="Q277" s="63"/>
      <c r="R277" s="63"/>
      <c r="S277" s="63"/>
      <c r="T277" s="63"/>
      <c r="U277" s="68"/>
      <c r="V277" s="63"/>
      <c r="W277" s="63"/>
      <c r="X277" s="309"/>
      <c r="Y277" s="63"/>
      <c r="Z277" s="63"/>
      <c r="AA277" s="63"/>
      <c r="AB277" s="63"/>
      <c r="AC277" s="63"/>
      <c r="AD277" s="8"/>
      <c r="AE277" s="142"/>
      <c r="AF277" s="142"/>
      <c r="AG277" s="142"/>
      <c r="AH277" s="142"/>
      <c r="AI277" s="203">
        <v>11</v>
      </c>
    </row>
    <row r="278" spans="1:35" s="203" customFormat="1" ht="11.45" customHeight="1">
      <c r="A278" s="572"/>
      <c r="B278" s="68"/>
      <c r="C278" s="68"/>
      <c r="N278" s="63"/>
      <c r="O278" s="68"/>
      <c r="P278" s="68"/>
      <c r="Q278" s="63"/>
      <c r="R278" s="63"/>
      <c r="S278" s="63"/>
      <c r="T278" s="63"/>
      <c r="U278" s="68"/>
      <c r="V278" s="63"/>
      <c r="W278" s="63"/>
      <c r="X278" s="309"/>
      <c r="Y278" s="63"/>
      <c r="Z278" s="63"/>
      <c r="AA278" s="63"/>
      <c r="AB278" s="63"/>
      <c r="AC278" s="63"/>
      <c r="AD278" s="8"/>
      <c r="AE278" s="142"/>
      <c r="AF278" s="142"/>
      <c r="AG278" s="142"/>
      <c r="AH278" s="142"/>
      <c r="AI278" s="203">
        <v>11</v>
      </c>
    </row>
    <row r="279" spans="1:35" s="203" customFormat="1" ht="11.45" customHeight="1">
      <c r="A279" s="572"/>
      <c r="B279" s="68"/>
      <c r="C279" s="68"/>
      <c r="N279" s="63"/>
      <c r="O279" s="68"/>
      <c r="P279" s="68"/>
      <c r="Q279" s="63"/>
      <c r="R279" s="63"/>
      <c r="S279" s="63"/>
      <c r="T279" s="63"/>
      <c r="U279" s="68"/>
      <c r="V279" s="63"/>
      <c r="W279" s="63"/>
      <c r="X279" s="309"/>
      <c r="Y279" s="63"/>
      <c r="Z279" s="63"/>
      <c r="AA279" s="63"/>
      <c r="AB279" s="63"/>
      <c r="AC279" s="63"/>
      <c r="AD279" s="8"/>
      <c r="AE279" s="142"/>
      <c r="AF279" s="142"/>
      <c r="AG279" s="142"/>
      <c r="AH279" s="142"/>
      <c r="AI279" s="203">
        <v>11</v>
      </c>
    </row>
    <row r="280" spans="1:35" s="203" customFormat="1" ht="11.45" customHeight="1">
      <c r="A280" s="572"/>
      <c r="B280" s="68"/>
      <c r="C280" s="68"/>
      <c r="N280" s="63"/>
      <c r="O280" s="68"/>
      <c r="P280" s="68"/>
      <c r="Q280" s="63"/>
      <c r="R280" s="63"/>
      <c r="S280" s="63"/>
      <c r="T280" s="63"/>
      <c r="U280" s="68"/>
      <c r="V280" s="63"/>
      <c r="W280" s="63"/>
      <c r="X280" s="309"/>
      <c r="Y280" s="63"/>
      <c r="Z280" s="63"/>
      <c r="AA280" s="63"/>
      <c r="AB280" s="63"/>
      <c r="AC280" s="63"/>
      <c r="AD280" s="8"/>
      <c r="AE280" s="142"/>
      <c r="AF280" s="142"/>
      <c r="AG280" s="142"/>
      <c r="AH280" s="142"/>
      <c r="AI280" s="203">
        <v>11</v>
      </c>
    </row>
    <row r="281" spans="1:35" s="203" customFormat="1" ht="11.45" customHeight="1">
      <c r="A281" s="572"/>
      <c r="B281" s="68"/>
      <c r="C281" s="68"/>
      <c r="N281" s="63"/>
      <c r="O281" s="68"/>
      <c r="P281" s="68"/>
      <c r="Q281" s="63"/>
      <c r="R281" s="63"/>
      <c r="S281" s="63"/>
      <c r="T281" s="63"/>
      <c r="U281" s="68"/>
      <c r="V281" s="63"/>
      <c r="W281" s="63"/>
      <c r="X281" s="309"/>
      <c r="Y281" s="63"/>
      <c r="Z281" s="63"/>
      <c r="AA281" s="63"/>
      <c r="AB281" s="63"/>
      <c r="AC281" s="63"/>
      <c r="AD281" s="8"/>
      <c r="AE281" s="142"/>
      <c r="AF281" s="142"/>
      <c r="AG281" s="142"/>
      <c r="AH281" s="142"/>
      <c r="AI281" s="203">
        <v>11</v>
      </c>
    </row>
    <row r="282" spans="1:35" s="203" customFormat="1" ht="11.45" customHeight="1">
      <c r="A282" s="572"/>
      <c r="B282" s="68"/>
      <c r="C282" s="68"/>
      <c r="N282" s="63"/>
      <c r="O282" s="68"/>
      <c r="P282" s="68"/>
      <c r="Q282" s="63"/>
      <c r="R282" s="63"/>
      <c r="S282" s="63"/>
      <c r="T282" s="63"/>
      <c r="U282" s="68"/>
      <c r="V282" s="63"/>
      <c r="W282" s="63"/>
      <c r="X282" s="309"/>
      <c r="Y282" s="63"/>
      <c r="Z282" s="63"/>
      <c r="AA282" s="63"/>
      <c r="AB282" s="63"/>
      <c r="AC282" s="63"/>
      <c r="AD282" s="8"/>
      <c r="AE282" s="142"/>
      <c r="AF282" s="142"/>
      <c r="AG282" s="142"/>
      <c r="AH282" s="142"/>
      <c r="AI282" s="203">
        <v>11</v>
      </c>
    </row>
    <row r="283" spans="1:35" s="203" customFormat="1" ht="11.45" customHeight="1">
      <c r="A283" s="572"/>
      <c r="B283" s="68"/>
      <c r="C283" s="68"/>
      <c r="N283" s="63"/>
      <c r="O283" s="68"/>
      <c r="P283" s="68"/>
      <c r="Q283" s="63"/>
      <c r="R283" s="63"/>
      <c r="S283" s="63"/>
      <c r="T283" s="63"/>
      <c r="U283" s="68"/>
      <c r="V283" s="63"/>
      <c r="W283" s="63"/>
      <c r="X283" s="309"/>
      <c r="Y283" s="63"/>
      <c r="Z283" s="63"/>
      <c r="AA283" s="63"/>
      <c r="AB283" s="63"/>
      <c r="AC283" s="63"/>
      <c r="AD283" s="8"/>
      <c r="AE283" s="142"/>
      <c r="AF283" s="142"/>
      <c r="AG283" s="142"/>
      <c r="AH283" s="142"/>
      <c r="AI283" s="203">
        <v>11</v>
      </c>
    </row>
    <row r="284" spans="1:35" s="203" customFormat="1" ht="11.45" customHeight="1">
      <c r="A284" s="572"/>
      <c r="B284" s="68"/>
      <c r="C284" s="68"/>
      <c r="N284" s="63"/>
      <c r="O284" s="68"/>
      <c r="P284" s="68"/>
      <c r="Q284" s="63"/>
      <c r="R284" s="63"/>
      <c r="S284" s="63"/>
      <c r="T284" s="63"/>
      <c r="U284" s="68"/>
      <c r="V284" s="63"/>
      <c r="W284" s="63"/>
      <c r="X284" s="309"/>
      <c r="Y284" s="63"/>
      <c r="Z284" s="63"/>
      <c r="AA284" s="63"/>
      <c r="AB284" s="63"/>
      <c r="AC284" s="63"/>
      <c r="AD284" s="8"/>
      <c r="AE284" s="142"/>
      <c r="AF284" s="142"/>
      <c r="AG284" s="142"/>
      <c r="AH284" s="142"/>
      <c r="AI284" s="203">
        <v>11</v>
      </c>
    </row>
    <row r="285" spans="1:35" s="203" customFormat="1" ht="11.45" customHeight="1">
      <c r="A285" s="572"/>
      <c r="B285" s="68"/>
      <c r="C285" s="68"/>
      <c r="N285" s="63"/>
      <c r="O285" s="68"/>
      <c r="P285" s="68"/>
      <c r="Q285" s="63"/>
      <c r="R285" s="63"/>
      <c r="S285" s="63"/>
      <c r="T285" s="63"/>
      <c r="U285" s="68"/>
      <c r="V285" s="63"/>
      <c r="W285" s="63"/>
      <c r="X285" s="309"/>
      <c r="Y285" s="63"/>
      <c r="Z285" s="63"/>
      <c r="AA285" s="63"/>
      <c r="AB285" s="63"/>
      <c r="AC285" s="63"/>
      <c r="AD285" s="8"/>
      <c r="AE285" s="142"/>
      <c r="AF285" s="142"/>
      <c r="AG285" s="142"/>
      <c r="AH285" s="142"/>
      <c r="AI285" s="203">
        <v>11</v>
      </c>
    </row>
    <row r="286" spans="1:35" s="203" customFormat="1" ht="11.45" customHeight="1">
      <c r="A286" s="572"/>
      <c r="B286" s="68"/>
      <c r="C286" s="68"/>
      <c r="N286" s="63"/>
      <c r="O286" s="68"/>
      <c r="P286" s="68"/>
      <c r="Q286" s="63"/>
      <c r="R286" s="63"/>
      <c r="S286" s="63"/>
      <c r="T286" s="63"/>
      <c r="U286" s="68"/>
      <c r="V286" s="63"/>
      <c r="W286" s="63"/>
      <c r="X286" s="309"/>
      <c r="Y286" s="63"/>
      <c r="Z286" s="63"/>
      <c r="AA286" s="63"/>
      <c r="AB286" s="63"/>
      <c r="AC286" s="63"/>
      <c r="AD286" s="8"/>
      <c r="AE286" s="142"/>
      <c r="AF286" s="142"/>
      <c r="AG286" s="142"/>
      <c r="AH286" s="142"/>
      <c r="AI286" s="203">
        <v>11</v>
      </c>
    </row>
    <row r="287" spans="1:35" s="203" customFormat="1" ht="11.45" customHeight="1">
      <c r="A287" s="572"/>
      <c r="B287" s="68"/>
      <c r="C287" s="68"/>
      <c r="N287" s="63"/>
      <c r="O287" s="68"/>
      <c r="P287" s="68"/>
      <c r="Q287" s="63"/>
      <c r="R287" s="63"/>
      <c r="S287" s="63"/>
      <c r="T287" s="63"/>
      <c r="U287" s="68"/>
      <c r="V287" s="63"/>
      <c r="W287" s="63"/>
      <c r="X287" s="309"/>
      <c r="Y287" s="63"/>
      <c r="Z287" s="63"/>
      <c r="AA287" s="63"/>
      <c r="AB287" s="63"/>
      <c r="AC287" s="63"/>
      <c r="AD287" s="8"/>
      <c r="AE287" s="142"/>
      <c r="AF287" s="142"/>
      <c r="AG287" s="142"/>
      <c r="AH287" s="142"/>
      <c r="AI287" s="203">
        <v>11</v>
      </c>
    </row>
    <row r="288" spans="1:35" s="203" customFormat="1" ht="11.45" customHeight="1">
      <c r="A288" s="572"/>
      <c r="B288" s="68"/>
      <c r="C288" s="68"/>
      <c r="N288" s="63"/>
      <c r="O288" s="68"/>
      <c r="P288" s="68"/>
      <c r="Q288" s="63"/>
      <c r="R288" s="63"/>
      <c r="S288" s="63"/>
      <c r="T288" s="63"/>
      <c r="U288" s="68"/>
      <c r="V288" s="63"/>
      <c r="W288" s="63"/>
      <c r="X288" s="309"/>
      <c r="Y288" s="63"/>
      <c r="Z288" s="63"/>
      <c r="AA288" s="63"/>
      <c r="AB288" s="63"/>
      <c r="AC288" s="63"/>
      <c r="AD288" s="8"/>
      <c r="AE288" s="142"/>
      <c r="AF288" s="142"/>
      <c r="AG288" s="142"/>
      <c r="AH288" s="142"/>
      <c r="AI288" s="203">
        <v>11</v>
      </c>
    </row>
    <row r="289" spans="1:35" s="203" customFormat="1" ht="11.45" customHeight="1">
      <c r="A289" s="572"/>
      <c r="B289" s="68"/>
      <c r="C289" s="68"/>
      <c r="N289" s="63"/>
      <c r="O289" s="68"/>
      <c r="P289" s="68"/>
      <c r="Q289" s="63"/>
      <c r="R289" s="63"/>
      <c r="S289" s="63"/>
      <c r="T289" s="63"/>
      <c r="U289" s="68"/>
      <c r="V289" s="63"/>
      <c r="W289" s="63"/>
      <c r="X289" s="309"/>
      <c r="Y289" s="63"/>
      <c r="Z289" s="63"/>
      <c r="AA289" s="63"/>
      <c r="AB289" s="63"/>
      <c r="AC289" s="63"/>
      <c r="AD289" s="8"/>
      <c r="AE289" s="142"/>
      <c r="AF289" s="142"/>
      <c r="AG289" s="142"/>
      <c r="AH289" s="142"/>
      <c r="AI289" s="203">
        <v>11</v>
      </c>
    </row>
    <row r="290" spans="1:35" s="203" customFormat="1" ht="11.45" customHeight="1">
      <c r="A290" s="572"/>
      <c r="B290" s="68"/>
      <c r="C290" s="68"/>
      <c r="N290" s="63"/>
      <c r="O290" s="68"/>
      <c r="P290" s="68"/>
      <c r="Q290" s="63"/>
      <c r="R290" s="63"/>
      <c r="S290" s="63"/>
      <c r="T290" s="63"/>
      <c r="U290" s="68"/>
      <c r="V290" s="63"/>
      <c r="W290" s="63"/>
      <c r="X290" s="309"/>
      <c r="Y290" s="63"/>
      <c r="Z290" s="63"/>
      <c r="AA290" s="63"/>
      <c r="AB290" s="63"/>
      <c r="AC290" s="63"/>
      <c r="AD290" s="8"/>
      <c r="AE290" s="142"/>
      <c r="AF290" s="142"/>
      <c r="AG290" s="142"/>
      <c r="AH290" s="142"/>
      <c r="AI290" s="203">
        <v>11</v>
      </c>
    </row>
    <row r="291" spans="1:35" s="203" customFormat="1" ht="11.45" customHeight="1">
      <c r="A291" s="572"/>
      <c r="B291" s="68"/>
      <c r="C291" s="68"/>
      <c r="N291" s="63"/>
      <c r="O291" s="68"/>
      <c r="P291" s="68"/>
      <c r="Q291" s="63"/>
      <c r="R291" s="63"/>
      <c r="S291" s="63"/>
      <c r="T291" s="63"/>
      <c r="U291" s="68"/>
      <c r="V291" s="63"/>
      <c r="W291" s="63"/>
      <c r="X291" s="309"/>
      <c r="Y291" s="63"/>
      <c r="Z291" s="63"/>
      <c r="AA291" s="63"/>
      <c r="AB291" s="63"/>
      <c r="AC291" s="63"/>
      <c r="AD291" s="8"/>
      <c r="AE291" s="142"/>
      <c r="AF291" s="142"/>
      <c r="AG291" s="142"/>
      <c r="AH291" s="142"/>
      <c r="AI291" s="203">
        <v>11</v>
      </c>
    </row>
    <row r="292" spans="1:35" s="203" customFormat="1" ht="11.45" customHeight="1">
      <c r="A292" s="572"/>
      <c r="B292" s="68"/>
      <c r="C292" s="68"/>
      <c r="N292" s="63"/>
      <c r="O292" s="68"/>
      <c r="P292" s="68"/>
      <c r="Q292" s="63"/>
      <c r="R292" s="63"/>
      <c r="S292" s="63"/>
      <c r="T292" s="63"/>
      <c r="U292" s="68"/>
      <c r="V292" s="63"/>
      <c r="W292" s="63"/>
      <c r="X292" s="309"/>
      <c r="Y292" s="63"/>
      <c r="Z292" s="63"/>
      <c r="AA292" s="63"/>
      <c r="AB292" s="63"/>
      <c r="AC292" s="63"/>
      <c r="AD292" s="8"/>
      <c r="AE292" s="142"/>
      <c r="AF292" s="142"/>
      <c r="AG292" s="142"/>
      <c r="AH292" s="142"/>
      <c r="AI292" s="203">
        <v>11</v>
      </c>
    </row>
    <row r="293" spans="1:35" s="203" customFormat="1" ht="11.45" customHeight="1">
      <c r="A293" s="572"/>
      <c r="B293" s="68"/>
      <c r="C293" s="68"/>
      <c r="N293" s="63"/>
      <c r="O293" s="68"/>
      <c r="P293" s="68"/>
      <c r="Q293" s="63"/>
      <c r="R293" s="63"/>
      <c r="S293" s="63"/>
      <c r="T293" s="63"/>
      <c r="U293" s="68"/>
      <c r="V293" s="63"/>
      <c r="W293" s="63"/>
      <c r="X293" s="309"/>
      <c r="Y293" s="63"/>
      <c r="Z293" s="63"/>
      <c r="AA293" s="63"/>
      <c r="AB293" s="63"/>
      <c r="AC293" s="63"/>
      <c r="AD293" s="8"/>
      <c r="AE293" s="142"/>
      <c r="AF293" s="142"/>
      <c r="AG293" s="142"/>
      <c r="AH293" s="142"/>
      <c r="AI293" s="203">
        <v>11</v>
      </c>
    </row>
    <row r="294" spans="1:35" s="203" customFormat="1" ht="11.45" customHeight="1">
      <c r="A294" s="572"/>
      <c r="B294" s="68"/>
      <c r="C294" s="68"/>
      <c r="N294" s="63"/>
      <c r="O294" s="68"/>
      <c r="P294" s="68"/>
      <c r="Q294" s="63"/>
      <c r="R294" s="63"/>
      <c r="S294" s="63"/>
      <c r="T294" s="63"/>
      <c r="U294" s="68"/>
      <c r="V294" s="63"/>
      <c r="W294" s="63"/>
      <c r="X294" s="309"/>
      <c r="Y294" s="63"/>
      <c r="Z294" s="63"/>
      <c r="AA294" s="63"/>
      <c r="AB294" s="63"/>
      <c r="AC294" s="63"/>
      <c r="AD294" s="8"/>
      <c r="AE294" s="142"/>
      <c r="AF294" s="142"/>
      <c r="AG294" s="142"/>
      <c r="AH294" s="142"/>
      <c r="AI294" s="203">
        <v>11</v>
      </c>
    </row>
    <row r="295" spans="1:35" s="203" customFormat="1" ht="11.45" customHeight="1">
      <c r="A295" s="572"/>
      <c r="B295" s="68"/>
      <c r="C295" s="68"/>
      <c r="N295" s="63"/>
      <c r="O295" s="68"/>
      <c r="P295" s="68"/>
      <c r="Q295" s="63"/>
      <c r="R295" s="63"/>
      <c r="S295" s="63"/>
      <c r="T295" s="63"/>
      <c r="U295" s="68"/>
      <c r="V295" s="63"/>
      <c r="W295" s="63"/>
      <c r="X295" s="309"/>
      <c r="Y295" s="63"/>
      <c r="Z295" s="63"/>
      <c r="AA295" s="63"/>
      <c r="AB295" s="63"/>
      <c r="AC295" s="63"/>
      <c r="AD295" s="8"/>
      <c r="AE295" s="142"/>
      <c r="AF295" s="142"/>
      <c r="AG295" s="142"/>
      <c r="AH295" s="142"/>
      <c r="AI295" s="203">
        <v>11</v>
      </c>
    </row>
    <row r="296" spans="1:35" s="203" customFormat="1" ht="11.45" customHeight="1">
      <c r="A296" s="572"/>
      <c r="B296" s="68"/>
      <c r="C296" s="68"/>
      <c r="N296" s="63"/>
      <c r="O296" s="68"/>
      <c r="P296" s="68"/>
      <c r="Q296" s="63"/>
      <c r="R296" s="63"/>
      <c r="S296" s="63"/>
      <c r="T296" s="63"/>
      <c r="U296" s="68"/>
      <c r="V296" s="63"/>
      <c r="W296" s="63"/>
      <c r="X296" s="309"/>
      <c r="Y296" s="63"/>
      <c r="Z296" s="63"/>
      <c r="AA296" s="63"/>
      <c r="AB296" s="63"/>
      <c r="AC296" s="63"/>
      <c r="AD296" s="8"/>
      <c r="AE296" s="142"/>
      <c r="AF296" s="142"/>
      <c r="AG296" s="142"/>
      <c r="AH296" s="142"/>
      <c r="AI296" s="203">
        <v>11</v>
      </c>
    </row>
    <row r="297" spans="1:35" s="203" customFormat="1" ht="11.45" customHeight="1">
      <c r="A297" s="572"/>
      <c r="B297" s="68"/>
      <c r="C297" s="68"/>
      <c r="N297" s="63"/>
      <c r="O297" s="68"/>
      <c r="P297" s="68"/>
      <c r="Q297" s="63"/>
      <c r="R297" s="63"/>
      <c r="S297" s="63"/>
      <c r="T297" s="63"/>
      <c r="U297" s="68"/>
      <c r="V297" s="63"/>
      <c r="W297" s="63"/>
      <c r="X297" s="309"/>
      <c r="Y297" s="63"/>
      <c r="Z297" s="63"/>
      <c r="AA297" s="63"/>
      <c r="AB297" s="63"/>
      <c r="AC297" s="63"/>
      <c r="AD297" s="8"/>
      <c r="AE297" s="142"/>
      <c r="AF297" s="142"/>
      <c r="AG297" s="142"/>
      <c r="AH297" s="142"/>
      <c r="AI297" s="203">
        <v>11</v>
      </c>
    </row>
    <row r="298" spans="1:35" s="203" customFormat="1" ht="11.45" customHeight="1">
      <c r="A298" s="572"/>
      <c r="B298" s="68"/>
      <c r="C298" s="68"/>
      <c r="N298" s="63"/>
      <c r="O298" s="68"/>
      <c r="P298" s="68"/>
      <c r="Q298" s="63"/>
      <c r="R298" s="63"/>
      <c r="S298" s="63"/>
      <c r="T298" s="63"/>
      <c r="U298" s="68"/>
      <c r="V298" s="63"/>
      <c r="W298" s="63"/>
      <c r="X298" s="309"/>
      <c r="Y298" s="63"/>
      <c r="Z298" s="63"/>
      <c r="AA298" s="63"/>
      <c r="AB298" s="63"/>
      <c r="AC298" s="63"/>
      <c r="AD298" s="8"/>
      <c r="AE298" s="142"/>
      <c r="AF298" s="142"/>
      <c r="AG298" s="142"/>
      <c r="AH298" s="142"/>
      <c r="AI298" s="203">
        <v>11</v>
      </c>
    </row>
    <row r="299" spans="1:35" ht="11.45" customHeight="1">
      <c r="AI299" s="11">
        <v>11</v>
      </c>
    </row>
    <row r="300" spans="1:35" ht="11.45" customHeight="1">
      <c r="AI300" s="11">
        <v>11</v>
      </c>
    </row>
    <row r="301" spans="1:35" ht="11.45" customHeight="1">
      <c r="AI301" s="11">
        <v>11</v>
      </c>
    </row>
    <row r="302" spans="1:35" ht="11.45" customHeight="1">
      <c r="A302" s="575"/>
      <c r="B302" s="11"/>
      <c r="N302" s="11"/>
      <c r="Q302" s="11"/>
      <c r="R302" s="11"/>
      <c r="S302" s="11"/>
      <c r="T302" s="11"/>
      <c r="V302" s="11"/>
      <c r="W302" s="11"/>
      <c r="X302" s="11"/>
      <c r="Y302" s="11"/>
      <c r="Z302" s="11"/>
      <c r="AA302" s="11"/>
      <c r="AB302" s="11"/>
      <c r="AC302" s="11"/>
      <c r="AD302" s="11"/>
      <c r="AE302" s="11"/>
      <c r="AF302" s="11"/>
      <c r="AG302" s="11"/>
      <c r="AH302" s="11"/>
      <c r="AI302" s="11">
        <v>11</v>
      </c>
    </row>
    <row r="303" spans="1:35" ht="11.45" customHeight="1">
      <c r="A303" s="575"/>
      <c r="B303" s="11"/>
      <c r="N303" s="11"/>
      <c r="Q303" s="11"/>
      <c r="R303" s="11"/>
      <c r="S303" s="11"/>
      <c r="T303" s="11"/>
      <c r="V303" s="11"/>
      <c r="W303" s="11"/>
      <c r="X303" s="11"/>
      <c r="Y303" s="11"/>
      <c r="Z303" s="11"/>
      <c r="AA303" s="11"/>
      <c r="AB303" s="11"/>
      <c r="AC303" s="11"/>
      <c r="AD303" s="11"/>
      <c r="AE303" s="11"/>
      <c r="AF303" s="11"/>
      <c r="AG303" s="11"/>
      <c r="AH303" s="11"/>
      <c r="AI303" s="11">
        <v>11</v>
      </c>
    </row>
    <row r="304" spans="1:35" ht="11.45" customHeight="1">
      <c r="A304" s="575"/>
      <c r="B304" s="11"/>
      <c r="N304" s="11"/>
      <c r="Q304" s="11"/>
      <c r="R304" s="11"/>
      <c r="S304" s="11"/>
      <c r="T304" s="11"/>
      <c r="V304" s="11"/>
      <c r="W304" s="11"/>
      <c r="X304" s="11"/>
      <c r="Y304" s="11"/>
      <c r="Z304" s="11"/>
      <c r="AA304" s="11"/>
      <c r="AB304" s="11"/>
      <c r="AC304" s="11"/>
      <c r="AD304" s="11"/>
      <c r="AE304" s="11"/>
      <c r="AF304" s="11"/>
      <c r="AG304" s="11"/>
      <c r="AH304" s="11"/>
      <c r="AI304" s="11">
        <v>11</v>
      </c>
    </row>
    <row r="305" spans="1:35" ht="11.45" customHeight="1">
      <c r="A305" s="575"/>
      <c r="B305" s="11"/>
      <c r="N305" s="11"/>
      <c r="Q305" s="11"/>
      <c r="R305" s="11"/>
      <c r="S305" s="11"/>
      <c r="T305" s="11"/>
      <c r="V305" s="11"/>
      <c r="W305" s="11"/>
      <c r="X305" s="11"/>
      <c r="Y305" s="11"/>
      <c r="Z305" s="11"/>
      <c r="AA305" s="11"/>
      <c r="AB305" s="11"/>
      <c r="AC305" s="11"/>
      <c r="AD305" s="11"/>
      <c r="AE305" s="11"/>
      <c r="AF305" s="11"/>
      <c r="AG305" s="11"/>
      <c r="AH305" s="11"/>
      <c r="AI305" s="11">
        <v>11</v>
      </c>
    </row>
    <row r="306" spans="1:35" ht="11.45" customHeight="1">
      <c r="A306" s="575"/>
      <c r="B306" s="11"/>
      <c r="N306" s="11"/>
      <c r="Q306" s="11"/>
      <c r="R306" s="11"/>
      <c r="S306" s="11"/>
      <c r="T306" s="11"/>
      <c r="V306" s="11"/>
      <c r="W306" s="11"/>
      <c r="X306" s="11"/>
      <c r="Y306" s="11"/>
      <c r="Z306" s="11"/>
      <c r="AA306" s="11"/>
      <c r="AB306" s="11"/>
      <c r="AC306" s="11"/>
      <c r="AD306" s="11"/>
      <c r="AE306" s="11"/>
      <c r="AF306" s="11"/>
      <c r="AG306" s="11"/>
      <c r="AH306" s="11"/>
      <c r="AI306" s="11">
        <v>11</v>
      </c>
    </row>
    <row r="307" spans="1:35" ht="11.45" customHeight="1">
      <c r="A307" s="575"/>
      <c r="B307" s="11"/>
      <c r="N307" s="11"/>
      <c r="Q307" s="11"/>
      <c r="R307" s="11"/>
      <c r="S307" s="11"/>
      <c r="T307" s="11"/>
      <c r="V307" s="11"/>
      <c r="W307" s="11"/>
      <c r="X307" s="11"/>
      <c r="Y307" s="11"/>
      <c r="Z307" s="11"/>
      <c r="AA307" s="11"/>
      <c r="AB307" s="11"/>
      <c r="AC307" s="11"/>
      <c r="AD307" s="11"/>
      <c r="AE307" s="11"/>
      <c r="AF307" s="11"/>
      <c r="AG307" s="11"/>
      <c r="AH307" s="11"/>
      <c r="AI307" s="11">
        <v>11</v>
      </c>
    </row>
    <row r="308" spans="1:35" ht="11.45" customHeight="1">
      <c r="A308" s="575"/>
      <c r="B308" s="11"/>
      <c r="N308" s="11"/>
      <c r="Q308" s="11"/>
      <c r="R308" s="11"/>
      <c r="S308" s="11"/>
      <c r="T308" s="11"/>
      <c r="V308" s="11"/>
      <c r="W308" s="11"/>
      <c r="X308" s="11"/>
      <c r="Y308" s="11"/>
      <c r="Z308" s="11"/>
      <c r="AA308" s="11"/>
      <c r="AB308" s="11"/>
      <c r="AC308" s="11"/>
      <c r="AD308" s="11"/>
      <c r="AE308" s="11"/>
      <c r="AF308" s="11"/>
      <c r="AG308" s="11"/>
      <c r="AH308" s="11"/>
      <c r="AI308" s="11">
        <v>11</v>
      </c>
    </row>
    <row r="309" spans="1:35" ht="11.45" customHeight="1">
      <c r="A309" s="575"/>
      <c r="B309" s="11"/>
      <c r="N309" s="11"/>
      <c r="Q309" s="11"/>
      <c r="R309" s="11"/>
      <c r="S309" s="11"/>
      <c r="T309" s="11"/>
      <c r="V309" s="11"/>
      <c r="W309" s="11"/>
      <c r="X309" s="11"/>
      <c r="Y309" s="11"/>
      <c r="Z309" s="11"/>
      <c r="AA309" s="11"/>
      <c r="AB309" s="11"/>
      <c r="AC309" s="11"/>
      <c r="AD309" s="11"/>
      <c r="AE309" s="11"/>
      <c r="AF309" s="11"/>
      <c r="AG309" s="11"/>
      <c r="AH309" s="11"/>
      <c r="AI309" s="11">
        <v>11</v>
      </c>
    </row>
    <row r="310" spans="1:35" ht="11.45" customHeight="1">
      <c r="A310" s="575"/>
      <c r="B310" s="11"/>
      <c r="N310" s="11"/>
      <c r="Q310" s="11"/>
      <c r="R310" s="11"/>
      <c r="S310" s="11"/>
      <c r="T310" s="11"/>
      <c r="V310" s="11"/>
      <c r="W310" s="11"/>
      <c r="X310" s="11"/>
      <c r="Y310" s="11"/>
      <c r="Z310" s="11"/>
      <c r="AA310" s="11"/>
      <c r="AB310" s="11"/>
      <c r="AC310" s="11"/>
      <c r="AD310" s="11"/>
      <c r="AE310" s="11"/>
      <c r="AF310" s="11"/>
      <c r="AG310" s="11"/>
      <c r="AH310" s="11"/>
      <c r="AI310" s="11">
        <v>11</v>
      </c>
    </row>
    <row r="311" spans="1:35" ht="11.45" customHeight="1">
      <c r="A311" s="575"/>
      <c r="B311" s="11"/>
      <c r="N311" s="11"/>
      <c r="Q311" s="11"/>
      <c r="R311" s="11"/>
      <c r="S311" s="11"/>
      <c r="T311" s="11"/>
      <c r="V311" s="11"/>
      <c r="W311" s="11"/>
      <c r="X311" s="11"/>
      <c r="Y311" s="11"/>
      <c r="Z311" s="11"/>
      <c r="AA311" s="11"/>
      <c r="AB311" s="11"/>
      <c r="AC311" s="11"/>
      <c r="AD311" s="11"/>
      <c r="AE311" s="11"/>
      <c r="AF311" s="11"/>
      <c r="AG311" s="11"/>
      <c r="AH311" s="11"/>
      <c r="AI311" s="11">
        <v>11</v>
      </c>
    </row>
    <row r="312" spans="1:35" ht="11.45" customHeight="1">
      <c r="A312" s="575"/>
      <c r="B312" s="11"/>
      <c r="N312" s="11"/>
      <c r="Q312" s="11"/>
      <c r="R312" s="11"/>
      <c r="S312" s="11"/>
      <c r="T312" s="11"/>
      <c r="V312" s="11"/>
      <c r="W312" s="11"/>
      <c r="X312" s="11"/>
      <c r="Y312" s="11"/>
      <c r="Z312" s="11"/>
      <c r="AA312" s="11"/>
      <c r="AB312" s="11"/>
      <c r="AC312" s="11"/>
      <c r="AD312" s="11"/>
      <c r="AE312" s="11"/>
      <c r="AF312" s="11"/>
      <c r="AG312" s="11"/>
      <c r="AH312" s="11"/>
      <c r="AI312" s="11">
        <v>11</v>
      </c>
    </row>
    <row r="313" spans="1:35" ht="11.25" hidden="1" customHeight="1">
      <c r="A313" s="572" t="s">
        <v>82</v>
      </c>
      <c r="B313" s="63">
        <v>0</v>
      </c>
      <c r="C313" s="68">
        <v>0</v>
      </c>
      <c r="D313" s="11">
        <v>3</v>
      </c>
      <c r="E313" s="11">
        <v>7</v>
      </c>
      <c r="F313" s="11">
        <v>54</v>
      </c>
      <c r="G313" s="11">
        <v>10</v>
      </c>
      <c r="H313" s="11">
        <v>0</v>
      </c>
      <c r="I313" s="11">
        <v>40</v>
      </c>
      <c r="J313" s="11">
        <v>0</v>
      </c>
      <c r="K313" s="11">
        <v>0</v>
      </c>
      <c r="L313" s="11">
        <v>0</v>
      </c>
      <c r="M313" s="11">
        <v>102</v>
      </c>
      <c r="N313" s="63">
        <v>9</v>
      </c>
      <c r="O313" s="68">
        <v>5</v>
      </c>
      <c r="P313" s="68">
        <v>3</v>
      </c>
      <c r="Q313" s="63">
        <v>3</v>
      </c>
      <c r="R313" s="63">
        <v>3</v>
      </c>
      <c r="S313" s="63">
        <v>3</v>
      </c>
      <c r="T313" s="63">
        <v>3</v>
      </c>
      <c r="U313" s="68">
        <v>10</v>
      </c>
      <c r="V313" s="63">
        <v>34</v>
      </c>
      <c r="W313" s="63">
        <v>9</v>
      </c>
      <c r="X313" s="309">
        <v>8</v>
      </c>
      <c r="Y313" s="63">
        <v>8</v>
      </c>
      <c r="Z313" s="63">
        <v>8</v>
      </c>
      <c r="AA313" s="63">
        <v>8</v>
      </c>
      <c r="AB313" s="63">
        <v>8</v>
      </c>
      <c r="AC313" s="63">
        <v>8</v>
      </c>
      <c r="AD313" s="8">
        <v>8</v>
      </c>
      <c r="AE313" s="8">
        <v>8</v>
      </c>
      <c r="AF313" s="8">
        <v>8</v>
      </c>
      <c r="AG313" s="8">
        <v>8</v>
      </c>
      <c r="AH313" s="8">
        <v>8</v>
      </c>
      <c r="AI313" s="11">
        <v>11</v>
      </c>
    </row>
  </sheetData>
  <sheetProtection formatColumns="0" formatRows="0" insertRows="0" deleteColumns="0" deleteRows="0" sort="0" autoFilter="0"/>
  <mergeCells count="18">
    <mergeCell ref="B2:B7"/>
    <mergeCell ref="M25:M29"/>
    <mergeCell ref="F25:G25"/>
    <mergeCell ref="F26:G26"/>
    <mergeCell ref="F27:G27"/>
    <mergeCell ref="E28:G28"/>
    <mergeCell ref="A130:A140"/>
    <mergeCell ref="E21:I21"/>
    <mergeCell ref="E22:I22"/>
    <mergeCell ref="A33:A40"/>
    <mergeCell ref="B34:B39"/>
    <mergeCell ref="A41:A43"/>
    <mergeCell ref="A67:A68"/>
    <mergeCell ref="A85:A93"/>
    <mergeCell ref="A94:A98"/>
    <mergeCell ref="A99:A101"/>
    <mergeCell ref="A102:A114"/>
    <mergeCell ref="A118:A129"/>
  </mergeCells>
  <dataValidations count="12">
    <dataValidation type="list" allowBlank="1" showInputMessage="1" showErrorMessage="1" errorTitle="Ошибка" error="Выберите значение из списка" prompt="Выберите значение из списка" sqref="H7:L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L70 K70 J70 I70 H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L34 H39:L39" xr:uid="{00000000-0002-0000-2000-000002000000}">
      <formula1>900</formula1>
    </dataValidation>
    <dataValidation type="decimal" allowBlank="1" showErrorMessage="1" errorTitle="Ошибка" error="Допускается ввод только неотрицательных чисел!" sqref="H67:L67 H69:L69 H94:L97 H137:L137 H30:L30 H32:L33 H35:L38 H40:L65 H85:L89 H17:L17 H9:L13 H15:L15 H4:L6 H77:L77 H91:L92 H99:L106 H108:L129 H71:H73 I71:I73 J71:J73 K71:K73 L71:L73"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6"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8:L140 H84:L84" xr:uid="{00000000-0002-0000-2000-000007000000}">
      <formula1>900</formula1>
    </dataValidation>
    <dataValidation type="decimal" allowBlank="1" showErrorMessage="1" errorTitle="Ошибка" error="Допускается ввод только действительных чисел!" sqref="H75:L76"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33:L133 H130:L130 H136:L136 H78:L83 H107:L107" xr:uid="{00000000-0002-0000-2000-000009000000}">
      <formula1>-9.99999999999999E+37</formula1>
      <formula2>9.99999999999999E+37</formula2>
    </dataValidation>
    <dataValidation type="decimal" allowBlank="1" showErrorMessage="1" errorTitle="Ошибка" error="Введите значение от 0 до 100%" sqref="H93:L93 H98:L98"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L68 H66:L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56"/>
  <sheetViews>
    <sheetView showGridLines="0" topLeftCell="C4" zoomScale="90" workbookViewId="0">
      <selection activeCell="A41" sqref="A41:CF49"/>
    </sheetView>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74"/>
      <c r="G5" s="1274"/>
      <c r="H5" s="1274"/>
      <c r="I5" s="1274"/>
      <c r="J5" s="1274"/>
      <c r="K5" s="1274"/>
      <c r="L5" s="58"/>
      <c r="M5" s="58"/>
      <c r="CF5" s="11">
        <v>28</v>
      </c>
    </row>
    <row r="6" spans="1:84" s="11" customFormat="1" ht="16.899999999999999" customHeight="1">
      <c r="A6" s="355"/>
      <c r="B6" s="8"/>
      <c r="D6" s="622"/>
      <c r="E6" s="1246" t="str">
        <f>IF(org=0,"Не определено",org)</f>
        <v>Сургутское городское муниципальное унитарное предприятие "Горводоканал"</v>
      </c>
      <c r="F6" s="1246"/>
      <c r="G6" s="1246"/>
      <c r="H6" s="1246"/>
      <c r="I6" s="1246"/>
      <c r="J6" s="1246"/>
      <c r="K6" s="1246"/>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23" t="s">
        <v>306</v>
      </c>
      <c r="F9" s="1146"/>
      <c r="G9" s="1146"/>
      <c r="H9" s="1146"/>
      <c r="I9" s="1146"/>
      <c r="J9" s="1146"/>
      <c r="K9" s="1146"/>
      <c r="L9" s="1146"/>
      <c r="M9" s="1146"/>
      <c r="N9" s="1146"/>
      <c r="O9" s="1146"/>
      <c r="P9" s="1146"/>
      <c r="Q9" s="1146"/>
      <c r="R9" s="1"/>
      <c r="S9" s="1159" t="s">
        <v>307</v>
      </c>
      <c r="T9" s="196"/>
      <c r="CF9" s="11">
        <v>19</v>
      </c>
    </row>
    <row r="10" spans="1:84" ht="48.2" customHeight="1">
      <c r="D10" s="316" t="s">
        <v>88</v>
      </c>
      <c r="E10" s="1159" t="s">
        <v>88</v>
      </c>
      <c r="F10" s="1159"/>
      <c r="G10" s="41" t="s">
        <v>308</v>
      </c>
      <c r="H10" s="1159" t="s">
        <v>88</v>
      </c>
      <c r="I10" s="1159"/>
      <c r="J10" s="41" t="s">
        <v>616</v>
      </c>
      <c r="K10" s="41" t="s">
        <v>617</v>
      </c>
      <c r="L10" s="1159" t="s">
        <v>88</v>
      </c>
      <c r="M10" s="1159"/>
      <c r="N10" s="41" t="s">
        <v>618</v>
      </c>
      <c r="O10" s="41" t="s">
        <v>619</v>
      </c>
      <c r="P10" s="41" t="s">
        <v>620</v>
      </c>
      <c r="Q10" s="41" t="s">
        <v>621</v>
      </c>
      <c r="R10" s="41" t="s">
        <v>622</v>
      </c>
      <c r="S10" s="1159"/>
      <c r="T10" s="196"/>
      <c r="CF10" s="11">
        <v>46</v>
      </c>
    </row>
    <row r="11" spans="1:84" s="68" customFormat="1" ht="15" customHeight="1">
      <c r="A11" s="313"/>
      <c r="D11" s="313" t="s">
        <v>109</v>
      </c>
      <c r="E11" s="313"/>
      <c r="F11" s="313" t="s">
        <v>110</v>
      </c>
      <c r="G11" s="313" t="s">
        <v>90</v>
      </c>
      <c r="H11" s="313"/>
      <c r="I11" s="313" t="s">
        <v>91</v>
      </c>
      <c r="J11" s="313" t="s">
        <v>111</v>
      </c>
      <c r="K11" s="313" t="s">
        <v>92</v>
      </c>
      <c r="L11" s="313"/>
      <c r="M11" s="313" t="s">
        <v>93</v>
      </c>
      <c r="N11" s="313" t="s">
        <v>112</v>
      </c>
      <c r="O11" s="313" t="s">
        <v>156</v>
      </c>
      <c r="P11" s="313" t="s">
        <v>157</v>
      </c>
      <c r="Q11" s="313" t="s">
        <v>158</v>
      </c>
      <c r="R11" s="313" t="s">
        <v>159</v>
      </c>
      <c r="S11" s="313" t="s">
        <v>160</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382</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customHeight="1">
      <c r="A14" s="32" t="s">
        <v>117</v>
      </c>
      <c r="B14"/>
      <c r="C14"/>
      <c r="D14" s="1387" t="s">
        <v>109</v>
      </c>
      <c r="E14" s="1394" t="s">
        <v>105</v>
      </c>
      <c r="F14" s="1395"/>
      <c r="G14" s="1396"/>
      <c r="H14" s="1390" t="str">
        <f>IF(A14="","",INDEX(DIFFERENTIATION_UNMERGE_VD,MATCH(A14,DIFFERENTIATION_ID_DIFF,0)))</f>
        <v>Холодное водоснабжение. Питьевая вода</v>
      </c>
      <c r="I14" s="1390"/>
      <c r="J14" s="1390"/>
      <c r="K14" s="1390"/>
      <c r="L14" s="1390"/>
      <c r="M14" s="1390"/>
      <c r="N14" s="1390"/>
      <c r="O14" s="1390"/>
      <c r="P14" s="1390"/>
      <c r="Q14" s="1390"/>
      <c r="R14" s="1390"/>
      <c r="S14" s="416"/>
      <c r="T14" s="414"/>
      <c r="U14" s="104"/>
      <c r="V14" s="104"/>
      <c r="W14" s="62"/>
      <c r="X14" s="62"/>
      <c r="Y14" s="62"/>
      <c r="Z14" s="62"/>
      <c r="AA14" s="104"/>
      <c r="AB14" s="62"/>
      <c r="AC14" s="1393"/>
      <c r="AD14" s="62"/>
      <c r="AE14" s="359" t="s">
        <v>22</v>
      </c>
      <c r="AF14" s="359"/>
      <c r="AG14" s="360" t="s">
        <v>623</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customHeight="1">
      <c r="A15" s="32"/>
      <c r="B15"/>
      <c r="C15"/>
      <c r="D15" s="1388"/>
      <c r="E15" s="1394" t="s">
        <v>568</v>
      </c>
      <c r="F15" s="1395"/>
      <c r="G15" s="1396"/>
      <c r="H15" s="1390" t="str">
        <f>IF(A14="","",INDEX(DIFFERENTIATION_UNMERGE_AREA,MATCH(A14,DIFFERENTIATION_ID_DIFF,0)))</f>
        <v>без дифференциации</v>
      </c>
      <c r="I15" s="1390"/>
      <c r="J15" s="1390"/>
      <c r="K15" s="1390"/>
      <c r="L15" s="1390"/>
      <c r="M15" s="1390"/>
      <c r="N15" s="1390"/>
      <c r="O15" s="1390"/>
      <c r="P15" s="1390"/>
      <c r="Q15" s="1390"/>
      <c r="R15" s="1390"/>
      <c r="S15" s="416"/>
      <c r="T15" s="414"/>
      <c r="U15" s="104"/>
      <c r="V15" s="104"/>
      <c r="W15" s="62"/>
      <c r="X15" s="62"/>
      <c r="Y15" s="62"/>
      <c r="Z15" s="62"/>
      <c r="AA15" s="104"/>
      <c r="AB15" s="62"/>
      <c r="AC15" s="1393"/>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customHeight="1">
      <c r="A16" s="32"/>
      <c r="B16"/>
      <c r="C16"/>
      <c r="D16" s="1388"/>
      <c r="E16" s="1394" t="s">
        <v>569</v>
      </c>
      <c r="F16" s="1395"/>
      <c r="G16" s="1396"/>
      <c r="H16" s="1390" t="str">
        <f>IF(A14="","",INDEX(DIFFERENTIATION_UNMERGE_SYSTEM,MATCH(A14,DIFFERENTIATION_ID_DIFF,0)))</f>
        <v>без дифференциации</v>
      </c>
      <c r="I16" s="1390"/>
      <c r="J16" s="1390"/>
      <c r="K16" s="1390"/>
      <c r="L16" s="1390"/>
      <c r="M16" s="1390"/>
      <c r="N16" s="1390"/>
      <c r="O16" s="1390"/>
      <c r="P16" s="1390"/>
      <c r="Q16" s="1390"/>
      <c r="R16" s="1390"/>
      <c r="S16" s="416"/>
      <c r="T16" s="414"/>
      <c r="U16" s="104"/>
      <c r="V16" s="104"/>
      <c r="W16" s="62"/>
      <c r="X16" s="62"/>
      <c r="Y16" s="62"/>
      <c r="Z16" s="62"/>
      <c r="AA16" s="104"/>
      <c r="AB16" s="62"/>
      <c r="AC16" s="1393"/>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customHeight="1">
      <c r="A17" s="301"/>
      <c r="B17" s="63"/>
      <c r="C17" s="235"/>
      <c r="D17" s="1388"/>
      <c r="E17" s="1392" t="s">
        <v>624</v>
      </c>
      <c r="F17" s="1392"/>
      <c r="G17" s="1392"/>
      <c r="H17" s="1392"/>
      <c r="I17" s="1392"/>
      <c r="J17" s="1392"/>
      <c r="K17" s="1392"/>
      <c r="L17" s="1392"/>
      <c r="M17" s="1392"/>
      <c r="N17" s="1392"/>
      <c r="O17" s="1392"/>
      <c r="P17" s="1392"/>
      <c r="Q17" s="322">
        <f>SUMIF(T18:T19,"i",Q18:Q19)</f>
        <v>0</v>
      </c>
      <c r="R17" s="596"/>
      <c r="S17" s="153" t="s">
        <v>625</v>
      </c>
      <c r="T17" s="414" t="s">
        <v>626</v>
      </c>
      <c r="U17" s="1297">
        <v>1</v>
      </c>
      <c r="V17" s="1297" t="str">
        <f>INDEX(B_FHD_FLAG_INDEX_1,1,MATCH(A14,B_FHD_FLAG_DIFFERENTIATION,0))</f>
        <v>отсутствует</v>
      </c>
      <c r="W17" s="63"/>
      <c r="X17" s="63"/>
      <c r="Y17" s="63"/>
      <c r="Z17" s="63"/>
      <c r="AA17" s="68"/>
      <c r="AB17" s="63"/>
      <c r="AC17" s="1393"/>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88"/>
      <c r="E18" s="362"/>
      <c r="F18" s="362">
        <v>0</v>
      </c>
      <c r="G18" s="362"/>
      <c r="H18" s="362"/>
      <c r="I18" s="362"/>
      <c r="J18" s="362"/>
      <c r="K18" s="362"/>
      <c r="L18" s="362"/>
      <c r="M18" s="362"/>
      <c r="N18" s="362"/>
      <c r="O18" s="362"/>
      <c r="P18" s="362"/>
      <c r="Q18" s="362"/>
      <c r="R18" s="362"/>
      <c r="S18" s="317"/>
      <c r="T18" s="415"/>
      <c r="U18" s="1297"/>
      <c r="V18" s="1297"/>
      <c r="W18" s="68"/>
      <c r="X18" s="68"/>
      <c r="Y18" s="68"/>
      <c r="Z18" s="68"/>
      <c r="AA18" s="68"/>
      <c r="AB18" s="63"/>
      <c r="AC18" s="1393"/>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customHeight="1">
      <c r="A19" s="301"/>
      <c r="B19" s="63"/>
      <c r="C19" s="235"/>
      <c r="D19" s="1388"/>
      <c r="E19" s="184" t="s">
        <v>22</v>
      </c>
      <c r="F19" s="110" t="s">
        <v>22</v>
      </c>
      <c r="G19" s="110" t="s">
        <v>22</v>
      </c>
      <c r="H19" s="52" t="s">
        <v>22</v>
      </c>
      <c r="I19" s="52"/>
      <c r="J19" s="52"/>
      <c r="K19" s="52"/>
      <c r="L19" s="52"/>
      <c r="M19" s="52"/>
      <c r="N19" s="52"/>
      <c r="O19" s="52"/>
      <c r="P19" s="52"/>
      <c r="Q19" s="52"/>
      <c r="R19" s="352"/>
      <c r="S19" s="599"/>
      <c r="T19" s="415"/>
      <c r="U19" s="1297"/>
      <c r="V19" s="1297"/>
      <c r="W19" s="63"/>
      <c r="X19" s="63"/>
      <c r="Y19" s="63"/>
      <c r="Z19" s="63"/>
      <c r="AA19" s="68"/>
      <c r="AB19" s="63"/>
      <c r="AC19" s="1393"/>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customHeight="1">
      <c r="A20" s="301"/>
      <c r="B20" s="63"/>
      <c r="C20" s="235"/>
      <c r="D20" s="1388"/>
      <c r="E20" s="1392" t="s">
        <v>627</v>
      </c>
      <c r="F20" s="1392"/>
      <c r="G20" s="1392"/>
      <c r="H20" s="1392"/>
      <c r="I20" s="1392"/>
      <c r="J20" s="1392"/>
      <c r="K20" s="1392"/>
      <c r="L20" s="1392"/>
      <c r="M20" s="1392"/>
      <c r="N20" s="1392"/>
      <c r="O20" s="1392"/>
      <c r="P20" s="1392"/>
      <c r="Q20" s="322">
        <f>SUMIF(T21:T22,"i",Q21:Q22)</f>
        <v>0</v>
      </c>
      <c r="R20" s="596"/>
      <c r="S20" s="153" t="s">
        <v>628</v>
      </c>
      <c r="T20" s="414" t="s">
        <v>626</v>
      </c>
      <c r="U20" s="1297">
        <v>2</v>
      </c>
      <c r="V20" s="1297"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88"/>
      <c r="E21" s="362"/>
      <c r="F21" s="362">
        <v>0</v>
      </c>
      <c r="G21" s="362"/>
      <c r="H21" s="362"/>
      <c r="I21" s="362"/>
      <c r="J21" s="362"/>
      <c r="K21" s="362"/>
      <c r="L21" s="362"/>
      <c r="M21" s="362"/>
      <c r="N21" s="362"/>
      <c r="O21" s="362"/>
      <c r="P21" s="362"/>
      <c r="Q21" s="362"/>
      <c r="R21" s="362"/>
      <c r="S21" s="317"/>
      <c r="T21" s="415"/>
      <c r="U21" s="1297"/>
      <c r="V21" s="1297"/>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customHeight="1">
      <c r="A22" s="301"/>
      <c r="B22" s="63"/>
      <c r="C22" s="235"/>
      <c r="D22" s="1389"/>
      <c r="E22" s="184" t="s">
        <v>22</v>
      </c>
      <c r="F22" s="110" t="s">
        <v>22</v>
      </c>
      <c r="G22" s="110" t="s">
        <v>22</v>
      </c>
      <c r="H22" s="52" t="s">
        <v>22</v>
      </c>
      <c r="I22" s="52"/>
      <c r="J22" s="52"/>
      <c r="K22" s="52"/>
      <c r="L22" s="52"/>
      <c r="M22" s="52"/>
      <c r="N22" s="52"/>
      <c r="O22" s="52"/>
      <c r="P22" s="52"/>
      <c r="Q22" s="52"/>
      <c r="R22" s="352"/>
      <c r="S22" s="599"/>
      <c r="T22" s="415"/>
      <c r="U22" s="1297"/>
      <c r="V22" s="1297"/>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5" hidden="1" customHeight="1">
      <c r="A23" s="32" t="s">
        <v>123</v>
      </c>
      <c r="B23"/>
      <c r="C23" t="s">
        <v>22</v>
      </c>
      <c r="D23" s="1397" t="s">
        <v>158</v>
      </c>
      <c r="E23" s="1394" t="s">
        <v>105</v>
      </c>
      <c r="F23" s="1395"/>
      <c r="G23" s="1396"/>
      <c r="H23" s="1390" t="str">
        <f>IF(A23="","",INDEX(DIFFERENTIATION_UNMERGE_VD,MATCH(A23,DIFFERENTIATION_ID_DIFF,0)))</f>
        <v>Транспортировка. Питьевая вода</v>
      </c>
      <c r="I23" s="1390"/>
      <c r="J23" s="1390"/>
      <c r="K23" s="1390"/>
      <c r="L23" s="1390"/>
      <c r="M23" s="1390"/>
      <c r="N23" s="1390"/>
      <c r="O23" s="1390"/>
      <c r="P23" s="1390"/>
      <c r="Q23" s="1390"/>
      <c r="R23" s="1390"/>
      <c r="S23" s="416"/>
      <c r="T23" s="414"/>
      <c r="U23" s="104"/>
      <c r="V23" s="104"/>
      <c r="W23" s="62"/>
      <c r="X23" s="62"/>
      <c r="Y23" s="62"/>
      <c r="Z23" s="62"/>
      <c r="AA23" s="104"/>
      <c r="AB23" s="62"/>
      <c r="AC23" s="1393"/>
      <c r="AD23" s="62"/>
      <c r="AE23" s="359" t="s">
        <v>22</v>
      </c>
      <c r="AF23" s="359"/>
      <c r="AG23" s="360" t="s">
        <v>623</v>
      </c>
      <c r="AH23" s="361">
        <v>3</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62"/>
      <c r="BW23" s="62"/>
      <c r="BX23" s="62"/>
      <c r="BY23" s="62"/>
      <c r="BZ23" s="62"/>
      <c r="CA23" s="62"/>
      <c r="CB23" s="62"/>
      <c r="CC23" s="62"/>
      <c r="CD23" s="62"/>
      <c r="CE23" s="62"/>
      <c r="CF23"/>
    </row>
    <row r="24" spans="1:84" ht="15" hidden="1" customHeight="1">
      <c r="A24" s="32"/>
      <c r="B24"/>
      <c r="C24"/>
      <c r="D24" s="1398"/>
      <c r="E24" s="1394" t="s">
        <v>568</v>
      </c>
      <c r="F24" s="1395"/>
      <c r="G24" s="1396"/>
      <c r="H24" s="1390" t="str">
        <f>IF(A23="","",INDEX(DIFFERENTIATION_UNMERGE_AREA,MATCH(A23,DIFFERENTIATION_ID_DIFF,0)))</f>
        <v>без дифференциации</v>
      </c>
      <c r="I24" s="1390"/>
      <c r="J24" s="1390"/>
      <c r="K24" s="1390"/>
      <c r="L24" s="1390"/>
      <c r="M24" s="1390"/>
      <c r="N24" s="1390"/>
      <c r="O24" s="1390"/>
      <c r="P24" s="1390"/>
      <c r="Q24" s="1390"/>
      <c r="R24" s="1390"/>
      <c r="S24" s="416"/>
      <c r="T24" s="414"/>
      <c r="U24" s="104"/>
      <c r="V24" s="104"/>
      <c r="W24" s="62"/>
      <c r="X24" s="62"/>
      <c r="Y24" s="62"/>
      <c r="Z24" s="62"/>
      <c r="AA24" s="104"/>
      <c r="AB24" s="62"/>
      <c r="AC24" s="1393"/>
      <c r="AD24" s="62"/>
      <c r="AE24" s="359"/>
      <c r="AF24" s="359"/>
      <c r="AG24" s="360"/>
      <c r="AH24" s="361"/>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62"/>
      <c r="BW24" s="62"/>
      <c r="BX24" s="62"/>
      <c r="BY24" s="62"/>
      <c r="BZ24" s="62"/>
      <c r="CA24" s="62"/>
      <c r="CB24" s="62"/>
      <c r="CC24" s="62"/>
      <c r="CD24" s="62"/>
      <c r="CE24" s="62"/>
      <c r="CF24"/>
    </row>
    <row r="25" spans="1:84" ht="15" hidden="1" customHeight="1">
      <c r="A25" s="32"/>
      <c r="B25"/>
      <c r="C25"/>
      <c r="D25" s="1398"/>
      <c r="E25" s="1394" t="s">
        <v>569</v>
      </c>
      <c r="F25" s="1395"/>
      <c r="G25" s="1396"/>
      <c r="H25" s="1390" t="str">
        <f>IF(A23="","",INDEX(DIFFERENTIATION_UNMERGE_SYSTEM,MATCH(A23,DIFFERENTIATION_ID_DIFF,0)))</f>
        <v>без дифференциации</v>
      </c>
      <c r="I25" s="1390"/>
      <c r="J25" s="1390"/>
      <c r="K25" s="1390"/>
      <c r="L25" s="1390"/>
      <c r="M25" s="1390"/>
      <c r="N25" s="1390"/>
      <c r="O25" s="1390"/>
      <c r="P25" s="1390"/>
      <c r="Q25" s="1390"/>
      <c r="R25" s="1390"/>
      <c r="S25" s="416"/>
      <c r="T25" s="414"/>
      <c r="U25" s="104"/>
      <c r="V25" s="104"/>
      <c r="W25" s="62"/>
      <c r="X25" s="62"/>
      <c r="Y25" s="62"/>
      <c r="Z25" s="62"/>
      <c r="AA25" s="104"/>
      <c r="AB25" s="62"/>
      <c r="AC25" s="1393"/>
      <c r="AD25" s="62"/>
      <c r="AE25" s="359"/>
      <c r="AF25" s="359"/>
      <c r="AG25" s="360"/>
      <c r="AH25" s="361"/>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62"/>
      <c r="BW25" s="62"/>
      <c r="BX25" s="62"/>
      <c r="BY25" s="62"/>
      <c r="BZ25" s="62"/>
      <c r="CA25" s="62"/>
      <c r="CB25" s="62"/>
      <c r="CC25" s="62"/>
      <c r="CD25" s="62"/>
      <c r="CE25" s="62"/>
      <c r="CF25"/>
    </row>
    <row r="26" spans="1:84" ht="24.75" hidden="1" customHeight="1">
      <c r="A26" s="301"/>
      <c r="B26" s="63"/>
      <c r="C26" s="235"/>
      <c r="D26" s="1398"/>
      <c r="E26" s="1392" t="s">
        <v>624</v>
      </c>
      <c r="F26" s="1392"/>
      <c r="G26" s="1392"/>
      <c r="H26" s="1392"/>
      <c r="I26" s="1392"/>
      <c r="J26" s="1392"/>
      <c r="K26" s="1392"/>
      <c r="L26" s="1392"/>
      <c r="M26" s="1392"/>
      <c r="N26" s="1392"/>
      <c r="O26" s="1392"/>
      <c r="P26" s="1392"/>
      <c r="Q26" s="322">
        <f>SUMIF(T27:T28,"i",Q27:Q28)</f>
        <v>0</v>
      </c>
      <c r="R26" s="596"/>
      <c r="S26" s="153" t="s">
        <v>625</v>
      </c>
      <c r="T26" s="414" t="s">
        <v>626</v>
      </c>
      <c r="U26" s="1297">
        <v>1</v>
      </c>
      <c r="V26" s="1297" t="str">
        <f>INDEX(B_FHD_FLAG_INDEX_1,1,MATCH(A23,B_FHD_FLAG_DIFFERENTIATION,0))</f>
        <v>отсутствует</v>
      </c>
      <c r="W26" s="63"/>
      <c r="X26" s="63"/>
      <c r="Y26" s="63"/>
      <c r="Z26" s="63"/>
      <c r="AA26" s="68"/>
      <c r="AB26" s="63"/>
      <c r="AC26" s="1393"/>
      <c r="AD26" s="62"/>
      <c r="AE26" s="63"/>
      <c r="AF26" s="63"/>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3"/>
      <c r="BW26" s="63"/>
      <c r="BX26" s="63"/>
      <c r="BY26" s="63"/>
      <c r="BZ26" s="63"/>
      <c r="CA26" s="63"/>
      <c r="CB26" s="63"/>
      <c r="CC26" s="63"/>
      <c r="CD26" s="63"/>
      <c r="CE26" s="63"/>
      <c r="CF26"/>
    </row>
    <row r="27" spans="1:84" ht="11.25" hidden="1" customHeight="1">
      <c r="A27" s="122"/>
      <c r="B27" s="68"/>
      <c r="C27" s="68"/>
      <c r="D27" s="1398"/>
      <c r="E27" s="362"/>
      <c r="F27" s="362">
        <v>0</v>
      </c>
      <c r="G27" s="362"/>
      <c r="H27" s="362"/>
      <c r="I27" s="362"/>
      <c r="J27" s="362"/>
      <c r="K27" s="362"/>
      <c r="L27" s="362"/>
      <c r="M27" s="362"/>
      <c r="N27" s="362"/>
      <c r="O27" s="362"/>
      <c r="P27" s="362"/>
      <c r="Q27" s="362"/>
      <c r="R27" s="362"/>
      <c r="S27" s="317"/>
      <c r="T27" s="415"/>
      <c r="U27" s="1297"/>
      <c r="V27" s="1297"/>
      <c r="W27" s="68"/>
      <c r="X27" s="68"/>
      <c r="Y27" s="68"/>
      <c r="Z27" s="68"/>
      <c r="AA27" s="68"/>
      <c r="AB27" s="63"/>
      <c r="AC27" s="1393"/>
      <c r="AD27" s="62"/>
      <c r="AE27" s="63"/>
      <c r="AF27" s="63"/>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row>
    <row r="28" spans="1:84" ht="11.25" hidden="1" customHeight="1">
      <c r="A28" s="301"/>
      <c r="B28" s="63"/>
      <c r="C28" s="235"/>
      <c r="D28" s="1398"/>
      <c r="E28" s="184" t="s">
        <v>22</v>
      </c>
      <c r="F28" s="110" t="s">
        <v>22</v>
      </c>
      <c r="G28" s="110" t="s">
        <v>629</v>
      </c>
      <c r="H28" s="52" t="s">
        <v>22</v>
      </c>
      <c r="I28" s="52"/>
      <c r="J28" s="52"/>
      <c r="K28" s="52"/>
      <c r="L28" s="52"/>
      <c r="M28" s="52"/>
      <c r="N28" s="52"/>
      <c r="O28" s="52"/>
      <c r="P28" s="52"/>
      <c r="Q28" s="52"/>
      <c r="R28" s="352"/>
      <c r="S28" s="371"/>
      <c r="T28" s="415"/>
      <c r="U28" s="1297"/>
      <c r="V28" s="1297"/>
      <c r="W28" s="63"/>
      <c r="X28" s="63"/>
      <c r="Y28" s="63"/>
      <c r="Z28" s="63"/>
      <c r="AA28" s="68"/>
      <c r="AB28" s="63"/>
      <c r="AC28" s="1393"/>
      <c r="AD28" s="62"/>
      <c r="AE28" s="63"/>
      <c r="AF28" s="63"/>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3"/>
      <c r="BW28" s="63"/>
      <c r="BX28" s="63"/>
      <c r="BY28" s="63"/>
      <c r="BZ28" s="63"/>
      <c r="CA28" s="63"/>
      <c r="CB28" s="63"/>
      <c r="CC28" s="63"/>
      <c r="CD28" s="63"/>
      <c r="CE28" s="63"/>
      <c r="CF28"/>
    </row>
    <row r="29" spans="1:84" ht="24.75" hidden="1" customHeight="1">
      <c r="A29" s="301"/>
      <c r="B29" s="63"/>
      <c r="C29" s="235"/>
      <c r="D29" s="1398"/>
      <c r="E29" s="1392" t="s">
        <v>627</v>
      </c>
      <c r="F29" s="1392"/>
      <c r="G29" s="1392"/>
      <c r="H29" s="1392"/>
      <c r="I29" s="1392"/>
      <c r="J29" s="1392"/>
      <c r="K29" s="1392"/>
      <c r="L29" s="1392"/>
      <c r="M29" s="1392"/>
      <c r="N29" s="1392"/>
      <c r="O29" s="1392"/>
      <c r="P29" s="1392"/>
      <c r="Q29" s="322">
        <f>SUMIF(T30:T31,"i",Q30:Q31)</f>
        <v>0</v>
      </c>
      <c r="R29" s="596"/>
      <c r="S29" s="153" t="s">
        <v>628</v>
      </c>
      <c r="T29" s="414" t="s">
        <v>626</v>
      </c>
      <c r="U29" s="1297">
        <v>1</v>
      </c>
      <c r="V29" s="1297" t="str">
        <f>INDEX(B_FHD_FLAG_INDEX_2,1,MATCH(A23,B_FHD_FLAG_DIFFERENTIATION,0))</f>
        <v>отсутствует</v>
      </c>
      <c r="W29" s="63"/>
      <c r="X29" s="63"/>
      <c r="Y29" s="63"/>
      <c r="Z29" s="63"/>
      <c r="AA29" s="68"/>
      <c r="AB29" s="63"/>
      <c r="AC29" s="407"/>
      <c r="AD29" s="62"/>
      <c r="AE29" s="63"/>
      <c r="AF29" s="63"/>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3"/>
      <c r="BW29" s="63"/>
      <c r="BX29" s="63"/>
      <c r="BY29" s="63"/>
      <c r="BZ29" s="63"/>
      <c r="CA29" s="63"/>
      <c r="CB29" s="63"/>
      <c r="CC29" s="63"/>
      <c r="CD29" s="63"/>
      <c r="CE29" s="63"/>
      <c r="CF29"/>
    </row>
    <row r="30" spans="1:84" ht="11.25" hidden="1" customHeight="1">
      <c r="A30" s="122"/>
      <c r="B30" s="68"/>
      <c r="C30" s="68"/>
      <c r="D30" s="1398"/>
      <c r="E30" s="362"/>
      <c r="F30" s="362">
        <v>0</v>
      </c>
      <c r="G30" s="362"/>
      <c r="H30" s="362"/>
      <c r="I30" s="362"/>
      <c r="J30" s="362"/>
      <c r="K30" s="362"/>
      <c r="L30" s="362"/>
      <c r="M30" s="362"/>
      <c r="N30" s="362"/>
      <c r="O30" s="362"/>
      <c r="P30" s="362"/>
      <c r="Q30" s="362"/>
      <c r="R30" s="362"/>
      <c r="S30" s="317"/>
      <c r="T30" s="415"/>
      <c r="U30" s="1297"/>
      <c r="V30" s="1297"/>
      <c r="W30" s="68"/>
      <c r="X30" s="68"/>
      <c r="Y30" s="68"/>
      <c r="Z30" s="68"/>
      <c r="AA30" s="68"/>
      <c r="AB30" s="63"/>
      <c r="AC30" s="407"/>
      <c r="AD30" s="62"/>
      <c r="AE30" s="63"/>
      <c r="AF30" s="63"/>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row>
    <row r="31" spans="1:84" ht="11.25" hidden="1" customHeight="1">
      <c r="A31" s="301"/>
      <c r="B31" s="63"/>
      <c r="C31" s="235"/>
      <c r="D31" s="1399"/>
      <c r="E31" s="184" t="s">
        <v>22</v>
      </c>
      <c r="F31" s="110" t="s">
        <v>22</v>
      </c>
      <c r="G31" s="110" t="s">
        <v>629</v>
      </c>
      <c r="H31" s="52" t="s">
        <v>22</v>
      </c>
      <c r="I31" s="52"/>
      <c r="J31" s="52"/>
      <c r="K31" s="52"/>
      <c r="L31" s="52"/>
      <c r="M31" s="52"/>
      <c r="N31" s="52"/>
      <c r="O31" s="52"/>
      <c r="P31" s="52"/>
      <c r="Q31" s="52"/>
      <c r="R31" s="352"/>
      <c r="S31" s="371"/>
      <c r="T31" s="415"/>
      <c r="U31" s="1297"/>
      <c r="V31" s="1297"/>
      <c r="W31" s="63"/>
      <c r="X31" s="63"/>
      <c r="Y31" s="63"/>
      <c r="Z31" s="63"/>
      <c r="AA31" s="68"/>
      <c r="AB31" s="63"/>
      <c r="AC31" s="407"/>
      <c r="AD31" s="62"/>
      <c r="AE31" s="63"/>
      <c r="AF31" s="63"/>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3"/>
      <c r="BW31" s="63"/>
      <c r="BX31" s="63"/>
      <c r="BY31" s="63"/>
      <c r="BZ31" s="63"/>
      <c r="CA31" s="63"/>
      <c r="CB31" s="63"/>
      <c r="CC31" s="63"/>
      <c r="CD31" s="63"/>
      <c r="CE31" s="63"/>
      <c r="CF31"/>
    </row>
    <row r="32" spans="1:84" ht="15" hidden="1" customHeight="1">
      <c r="A32" s="32" t="s">
        <v>125</v>
      </c>
      <c r="B32"/>
      <c r="C32" t="s">
        <v>22</v>
      </c>
      <c r="D32" s="1397" t="s">
        <v>630</v>
      </c>
      <c r="E32" s="1394" t="s">
        <v>105</v>
      </c>
      <c r="F32" s="1395"/>
      <c r="G32" s="1396"/>
      <c r="H32" s="1390" t="str">
        <f>IF(A32="","",INDEX(DIFFERENTIATION_UNMERGE_VD,MATCH(A32,DIFFERENTIATION_ID_DIFF,0)))</f>
        <v>Подключение (технологическое присоединение) к централизованной системе водоснабжения</v>
      </c>
      <c r="I32" s="1390"/>
      <c r="J32" s="1390"/>
      <c r="K32" s="1390"/>
      <c r="L32" s="1390"/>
      <c r="M32" s="1390"/>
      <c r="N32" s="1390"/>
      <c r="O32" s="1390"/>
      <c r="P32" s="1390"/>
      <c r="Q32" s="1390"/>
      <c r="R32" s="1390"/>
      <c r="S32" s="416"/>
      <c r="T32" s="414"/>
      <c r="U32" s="104"/>
      <c r="V32" s="104"/>
      <c r="W32" s="62"/>
      <c r="X32" s="62"/>
      <c r="Y32" s="62"/>
      <c r="Z32" s="62"/>
      <c r="AA32" s="104"/>
      <c r="AB32" s="62"/>
      <c r="AC32" s="1393"/>
      <c r="AD32" s="62"/>
      <c r="AE32" s="359" t="s">
        <v>22</v>
      </c>
      <c r="AF32" s="359"/>
      <c r="AG32" s="360" t="s">
        <v>623</v>
      </c>
      <c r="AH32" s="361">
        <v>3</v>
      </c>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62"/>
      <c r="BW32" s="62"/>
      <c r="BX32" s="62"/>
      <c r="BY32" s="62"/>
      <c r="BZ32" s="62"/>
      <c r="CA32" s="62"/>
      <c r="CB32" s="62"/>
      <c r="CC32" s="62"/>
      <c r="CD32" s="62"/>
      <c r="CE32" s="62"/>
      <c r="CF32"/>
    </row>
    <row r="33" spans="1:84" ht="15" hidden="1" customHeight="1">
      <c r="A33" s="32"/>
      <c r="B33"/>
      <c r="C33"/>
      <c r="D33" s="1398"/>
      <c r="E33" s="1394" t="s">
        <v>568</v>
      </c>
      <c r="F33" s="1395"/>
      <c r="G33" s="1396"/>
      <c r="H33" s="1390" t="str">
        <f>IF(A32="","",INDEX(DIFFERENTIATION_UNMERGE_AREA,MATCH(A32,DIFFERENTIATION_ID_DIFF,0)))</f>
        <v>без дифференциации</v>
      </c>
      <c r="I33" s="1390"/>
      <c r="J33" s="1390"/>
      <c r="K33" s="1390"/>
      <c r="L33" s="1390"/>
      <c r="M33" s="1390"/>
      <c r="N33" s="1390"/>
      <c r="O33" s="1390"/>
      <c r="P33" s="1390"/>
      <c r="Q33" s="1390"/>
      <c r="R33" s="1390"/>
      <c r="S33" s="416"/>
      <c r="T33" s="414"/>
      <c r="U33" s="104"/>
      <c r="V33" s="104"/>
      <c r="W33" s="62"/>
      <c r="X33" s="62"/>
      <c r="Y33" s="62"/>
      <c r="Z33" s="62"/>
      <c r="AA33" s="104"/>
      <c r="AB33" s="62"/>
      <c r="AC33" s="1393"/>
      <c r="AD33" s="62"/>
      <c r="AE33" s="359"/>
      <c r="AF33" s="359"/>
      <c r="AG33" s="360"/>
      <c r="AH33" s="361"/>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62"/>
      <c r="BW33" s="62"/>
      <c r="BX33" s="62"/>
      <c r="BY33" s="62"/>
      <c r="BZ33" s="62"/>
      <c r="CA33" s="62"/>
      <c r="CB33" s="62"/>
      <c r="CC33" s="62"/>
      <c r="CD33" s="62"/>
      <c r="CE33" s="62"/>
      <c r="CF33"/>
    </row>
    <row r="34" spans="1:84" ht="15" hidden="1" customHeight="1">
      <c r="A34" s="32"/>
      <c r="B34"/>
      <c r="C34"/>
      <c r="D34" s="1398"/>
      <c r="E34" s="1394" t="s">
        <v>569</v>
      </c>
      <c r="F34" s="1395"/>
      <c r="G34" s="1396"/>
      <c r="H34" s="1390" t="str">
        <f>IF(A32="","",INDEX(DIFFERENTIATION_UNMERGE_SYSTEM,MATCH(A32,DIFFERENTIATION_ID_DIFF,0)))</f>
        <v>без дифференциации</v>
      </c>
      <c r="I34" s="1390"/>
      <c r="J34" s="1390"/>
      <c r="K34" s="1390"/>
      <c r="L34" s="1390"/>
      <c r="M34" s="1390"/>
      <c r="N34" s="1390"/>
      <c r="O34" s="1390"/>
      <c r="P34" s="1390"/>
      <c r="Q34" s="1390"/>
      <c r="R34" s="1390"/>
      <c r="S34" s="416"/>
      <c r="T34" s="414"/>
      <c r="U34" s="104"/>
      <c r="V34" s="104"/>
      <c r="W34" s="62"/>
      <c r="X34" s="62"/>
      <c r="Y34" s="62"/>
      <c r="Z34" s="62"/>
      <c r="AA34" s="104"/>
      <c r="AB34" s="62"/>
      <c r="AC34" s="1393"/>
      <c r="AD34" s="62"/>
      <c r="AE34" s="359"/>
      <c r="AF34" s="359"/>
      <c r="AG34" s="360"/>
      <c r="AH34" s="361"/>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62"/>
      <c r="BW34" s="62"/>
      <c r="BX34" s="62"/>
      <c r="BY34" s="62"/>
      <c r="BZ34" s="62"/>
      <c r="CA34" s="62"/>
      <c r="CB34" s="62"/>
      <c r="CC34" s="62"/>
      <c r="CD34" s="62"/>
      <c r="CE34" s="62"/>
      <c r="CF34"/>
    </row>
    <row r="35" spans="1:84" ht="24.75" hidden="1" customHeight="1">
      <c r="A35" s="301"/>
      <c r="B35" s="63"/>
      <c r="C35" s="235"/>
      <c r="D35" s="1398"/>
      <c r="E35" s="1392" t="s">
        <v>624</v>
      </c>
      <c r="F35" s="1392"/>
      <c r="G35" s="1392"/>
      <c r="H35" s="1392"/>
      <c r="I35" s="1392"/>
      <c r="J35" s="1392"/>
      <c r="K35" s="1392"/>
      <c r="L35" s="1392"/>
      <c r="M35" s="1392"/>
      <c r="N35" s="1392"/>
      <c r="O35" s="1392"/>
      <c r="P35" s="1392"/>
      <c r="Q35" s="322">
        <f>SUMIF(T36:T37,"i",Q36:Q37)</f>
        <v>0</v>
      </c>
      <c r="R35" s="596"/>
      <c r="S35" s="153" t="s">
        <v>625</v>
      </c>
      <c r="T35" s="414" t="s">
        <v>626</v>
      </c>
      <c r="U35" s="1297">
        <v>1</v>
      </c>
      <c r="V35" s="1297" t="str">
        <f>INDEX(B_FHD_FLAG_INDEX_1,1,MATCH(A32,B_FHD_FLAG_DIFFERENTIATION,0))</f>
        <v>отсутствует</v>
      </c>
      <c r="W35" s="63"/>
      <c r="X35" s="63"/>
      <c r="Y35" s="63"/>
      <c r="Z35" s="63"/>
      <c r="AA35" s="68"/>
      <c r="AB35" s="63"/>
      <c r="AC35" s="1393"/>
      <c r="AD35" s="62"/>
      <c r="AE35" s="63"/>
      <c r="AF35" s="63"/>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3"/>
      <c r="BW35" s="63"/>
      <c r="BX35" s="63"/>
      <c r="BY35" s="63"/>
      <c r="BZ35" s="63"/>
      <c r="CA35" s="63"/>
      <c r="CB35" s="63"/>
      <c r="CC35" s="63"/>
      <c r="CD35" s="63"/>
      <c r="CE35" s="63"/>
      <c r="CF35"/>
    </row>
    <row r="36" spans="1:84" ht="11.25" hidden="1" customHeight="1">
      <c r="A36" s="122"/>
      <c r="B36" s="68"/>
      <c r="C36" s="68"/>
      <c r="D36" s="1398"/>
      <c r="E36" s="362"/>
      <c r="F36" s="362">
        <v>0</v>
      </c>
      <c r="G36" s="362"/>
      <c r="H36" s="362"/>
      <c r="I36" s="362"/>
      <c r="J36" s="362"/>
      <c r="K36" s="362"/>
      <c r="L36" s="362"/>
      <c r="M36" s="362"/>
      <c r="N36" s="362"/>
      <c r="O36" s="362"/>
      <c r="P36" s="362"/>
      <c r="Q36" s="362"/>
      <c r="R36" s="362"/>
      <c r="S36" s="317"/>
      <c r="T36" s="415"/>
      <c r="U36" s="1297"/>
      <c r="V36" s="1297"/>
      <c r="W36" s="68"/>
      <c r="X36" s="68"/>
      <c r="Y36" s="68"/>
      <c r="Z36" s="68"/>
      <c r="AA36" s="68"/>
      <c r="AB36" s="63"/>
      <c r="AC36" s="1393"/>
      <c r="AD36" s="62"/>
      <c r="AE36" s="63"/>
      <c r="AF36" s="63"/>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row>
    <row r="37" spans="1:84" ht="11.25" hidden="1" customHeight="1">
      <c r="A37" s="301"/>
      <c r="B37" s="63"/>
      <c r="C37" s="235"/>
      <c r="D37" s="1398"/>
      <c r="E37" s="184" t="s">
        <v>22</v>
      </c>
      <c r="F37" s="110" t="s">
        <v>22</v>
      </c>
      <c r="G37" s="110" t="s">
        <v>629</v>
      </c>
      <c r="H37" s="52" t="s">
        <v>22</v>
      </c>
      <c r="I37" s="52"/>
      <c r="J37" s="52"/>
      <c r="K37" s="52"/>
      <c r="L37" s="52"/>
      <c r="M37" s="52"/>
      <c r="N37" s="52"/>
      <c r="O37" s="52"/>
      <c r="P37" s="52"/>
      <c r="Q37" s="52"/>
      <c r="R37" s="352"/>
      <c r="S37" s="371"/>
      <c r="T37" s="415"/>
      <c r="U37" s="1297"/>
      <c r="V37" s="1297"/>
      <c r="W37" s="63"/>
      <c r="X37" s="63"/>
      <c r="Y37" s="63"/>
      <c r="Z37" s="63"/>
      <c r="AA37" s="68"/>
      <c r="AB37" s="63"/>
      <c r="AC37" s="1393"/>
      <c r="AD37" s="62"/>
      <c r="AE37" s="63"/>
      <c r="AF37" s="63"/>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3"/>
      <c r="BW37" s="63"/>
      <c r="BX37" s="63"/>
      <c r="BY37" s="63"/>
      <c r="BZ37" s="63"/>
      <c r="CA37" s="63"/>
      <c r="CB37" s="63"/>
      <c r="CC37" s="63"/>
      <c r="CD37" s="63"/>
      <c r="CE37" s="63"/>
      <c r="CF37"/>
    </row>
    <row r="38" spans="1:84" ht="24.75" hidden="1" customHeight="1">
      <c r="A38" s="301"/>
      <c r="B38" s="63"/>
      <c r="C38" s="235"/>
      <c r="D38" s="1398"/>
      <c r="E38" s="1392" t="s">
        <v>627</v>
      </c>
      <c r="F38" s="1392"/>
      <c r="G38" s="1392"/>
      <c r="H38" s="1392"/>
      <c r="I38" s="1392"/>
      <c r="J38" s="1392"/>
      <c r="K38" s="1392"/>
      <c r="L38" s="1392"/>
      <c r="M38" s="1392"/>
      <c r="N38" s="1392"/>
      <c r="O38" s="1392"/>
      <c r="P38" s="1392"/>
      <c r="Q38" s="322">
        <f>SUMIF(T39:T40,"i",Q39:Q40)</f>
        <v>0</v>
      </c>
      <c r="R38" s="596"/>
      <c r="S38" s="153" t="s">
        <v>628</v>
      </c>
      <c r="T38" s="414" t="s">
        <v>626</v>
      </c>
      <c r="U38" s="1297">
        <v>1</v>
      </c>
      <c r="V38" s="1297" t="str">
        <f>INDEX(B_FHD_FLAG_INDEX_2,1,MATCH(A32,B_FHD_FLAG_DIFFERENTIATION,0))</f>
        <v>отсутствует</v>
      </c>
      <c r="W38" s="63"/>
      <c r="X38" s="63"/>
      <c r="Y38" s="63"/>
      <c r="Z38" s="63"/>
      <c r="AA38" s="68"/>
      <c r="AB38" s="63"/>
      <c r="AC38" s="407"/>
      <c r="AD38" s="62"/>
      <c r="AE38" s="63"/>
      <c r="AF38" s="63"/>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3"/>
      <c r="BW38" s="63"/>
      <c r="BX38" s="63"/>
      <c r="BY38" s="63"/>
      <c r="BZ38" s="63"/>
      <c r="CA38" s="63"/>
      <c r="CB38" s="63"/>
      <c r="CC38" s="63"/>
      <c r="CD38" s="63"/>
      <c r="CE38" s="63"/>
      <c r="CF38"/>
    </row>
    <row r="39" spans="1:84" ht="11.25" hidden="1" customHeight="1">
      <c r="A39" s="122"/>
      <c r="B39" s="68"/>
      <c r="C39" s="68"/>
      <c r="D39" s="1398"/>
      <c r="E39" s="362"/>
      <c r="F39" s="362">
        <v>0</v>
      </c>
      <c r="G39" s="362"/>
      <c r="H39" s="362"/>
      <c r="I39" s="362"/>
      <c r="J39" s="362"/>
      <c r="K39" s="362"/>
      <c r="L39" s="362"/>
      <c r="M39" s="362"/>
      <c r="N39" s="362"/>
      <c r="O39" s="362"/>
      <c r="P39" s="362"/>
      <c r="Q39" s="362"/>
      <c r="R39" s="362"/>
      <c r="S39" s="317"/>
      <c r="T39" s="415"/>
      <c r="U39" s="1297"/>
      <c r="V39" s="1297"/>
      <c r="W39" s="68"/>
      <c r="X39" s="68"/>
      <c r="Y39" s="68"/>
      <c r="Z39" s="68"/>
      <c r="AA39" s="68"/>
      <c r="AB39" s="63"/>
      <c r="AC39" s="407"/>
      <c r="AD39" s="62"/>
      <c r="AE39" s="63"/>
      <c r="AF39" s="63"/>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row>
    <row r="40" spans="1:84" ht="11.25" hidden="1" customHeight="1">
      <c r="A40" s="301"/>
      <c r="B40" s="63"/>
      <c r="C40" s="235"/>
      <c r="D40" s="1399"/>
      <c r="E40" s="184" t="s">
        <v>22</v>
      </c>
      <c r="F40" s="110" t="s">
        <v>22</v>
      </c>
      <c r="G40" s="110" t="s">
        <v>629</v>
      </c>
      <c r="H40" s="52" t="s">
        <v>22</v>
      </c>
      <c r="I40" s="52"/>
      <c r="J40" s="52"/>
      <c r="K40" s="52"/>
      <c r="L40" s="52"/>
      <c r="M40" s="52"/>
      <c r="N40" s="52"/>
      <c r="O40" s="52"/>
      <c r="P40" s="52"/>
      <c r="Q40" s="52"/>
      <c r="R40" s="352"/>
      <c r="S40" s="371"/>
      <c r="T40" s="415"/>
      <c r="U40" s="1297"/>
      <c r="V40" s="1297"/>
      <c r="W40" s="63"/>
      <c r="X40" s="63"/>
      <c r="Y40" s="63"/>
      <c r="Z40" s="63"/>
      <c r="AA40" s="68"/>
      <c r="AB40" s="63"/>
      <c r="AC40" s="407"/>
      <c r="AD40" s="62"/>
      <c r="AE40" s="63"/>
      <c r="AF40" s="63"/>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3"/>
      <c r="BW40" s="63"/>
      <c r="BX40" s="63"/>
      <c r="BY40" s="63"/>
      <c r="BZ40" s="63"/>
      <c r="CA40" s="63"/>
      <c r="CB40" s="63"/>
      <c r="CC40" s="63"/>
      <c r="CD40" s="63"/>
      <c r="CE40" s="63"/>
      <c r="CF40"/>
    </row>
    <row r="41" spans="1:84" ht="15" hidden="1" customHeight="1">
      <c r="A41" s="32" t="s">
        <v>127</v>
      </c>
      <c r="B41"/>
      <c r="C41" t="s">
        <v>22</v>
      </c>
      <c r="D41" s="1397" t="s">
        <v>631</v>
      </c>
      <c r="E41" s="1394" t="s">
        <v>105</v>
      </c>
      <c r="F41" s="1395"/>
      <c r="G41" s="1396"/>
      <c r="H41" s="1390" t="str">
        <f>IF(A41="","",INDEX(DIFFERENTIATION_UNMERGE_VD,MATCH(A41,DIFFERENTIATION_ID_DIFF,0)))</f>
        <v>Холодное водоснабжение. Подвозная вода</v>
      </c>
      <c r="I41" s="1390"/>
      <c r="J41" s="1390"/>
      <c r="K41" s="1390"/>
      <c r="L41" s="1390"/>
      <c r="M41" s="1390"/>
      <c r="N41" s="1390"/>
      <c r="O41" s="1390"/>
      <c r="P41" s="1390"/>
      <c r="Q41" s="1390"/>
      <c r="R41" s="1390"/>
      <c r="S41" s="416"/>
      <c r="T41" s="414"/>
      <c r="U41" s="104"/>
      <c r="V41" s="104"/>
      <c r="W41" s="62"/>
      <c r="X41" s="62"/>
      <c r="Y41" s="62"/>
      <c r="Z41" s="62"/>
      <c r="AA41" s="104"/>
      <c r="AB41" s="62"/>
      <c r="AC41" s="1393"/>
      <c r="AD41" s="62"/>
      <c r="AE41" s="359" t="s">
        <v>22</v>
      </c>
      <c r="AF41" s="359"/>
      <c r="AG41" s="360" t="s">
        <v>623</v>
      </c>
      <c r="AH41" s="361">
        <v>3</v>
      </c>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62"/>
      <c r="BW41" s="62"/>
      <c r="BX41" s="62"/>
      <c r="BY41" s="62"/>
      <c r="BZ41" s="62"/>
      <c r="CA41" s="62"/>
      <c r="CB41" s="62"/>
      <c r="CC41" s="62"/>
      <c r="CD41" s="62"/>
      <c r="CE41" s="62"/>
      <c r="CF41"/>
    </row>
    <row r="42" spans="1:84" ht="15" hidden="1" customHeight="1">
      <c r="A42" s="32"/>
      <c r="B42"/>
      <c r="C42"/>
      <c r="D42" s="1398"/>
      <c r="E42" s="1394" t="s">
        <v>568</v>
      </c>
      <c r="F42" s="1395"/>
      <c r="G42" s="1396"/>
      <c r="H42" s="1390" t="str">
        <f>IF(A41="","",INDEX(DIFFERENTIATION_UNMERGE_AREA,MATCH(A41,DIFFERENTIATION_ID_DIFF,0)))</f>
        <v>без дифференциации</v>
      </c>
      <c r="I42" s="1390"/>
      <c r="J42" s="1390"/>
      <c r="K42" s="1390"/>
      <c r="L42" s="1390"/>
      <c r="M42" s="1390"/>
      <c r="N42" s="1390"/>
      <c r="O42" s="1390"/>
      <c r="P42" s="1390"/>
      <c r="Q42" s="1390"/>
      <c r="R42" s="1390"/>
      <c r="S42" s="416"/>
      <c r="T42" s="414"/>
      <c r="U42" s="104"/>
      <c r="V42" s="104"/>
      <c r="W42" s="62"/>
      <c r="X42" s="62"/>
      <c r="Y42" s="62"/>
      <c r="Z42" s="62"/>
      <c r="AA42" s="104"/>
      <c r="AB42" s="62"/>
      <c r="AC42" s="1393"/>
      <c r="AD42" s="62"/>
      <c r="AE42" s="359"/>
      <c r="AF42" s="359"/>
      <c r="AG42" s="360"/>
      <c r="AH42" s="361"/>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62"/>
      <c r="BW42" s="62"/>
      <c r="BX42" s="62"/>
      <c r="BY42" s="62"/>
      <c r="BZ42" s="62"/>
      <c r="CA42" s="62"/>
      <c r="CB42" s="62"/>
      <c r="CC42" s="62"/>
      <c r="CD42" s="62"/>
      <c r="CE42" s="62"/>
      <c r="CF42"/>
    </row>
    <row r="43" spans="1:84" ht="15" hidden="1" customHeight="1">
      <c r="A43" s="32"/>
      <c r="B43"/>
      <c r="C43"/>
      <c r="D43" s="1398"/>
      <c r="E43" s="1394" t="s">
        <v>569</v>
      </c>
      <c r="F43" s="1395"/>
      <c r="G43" s="1396"/>
      <c r="H43" s="1390" t="str">
        <f>IF(A41="","",INDEX(DIFFERENTIATION_UNMERGE_SYSTEM,MATCH(A41,DIFFERENTIATION_ID_DIFF,0)))</f>
        <v>без дифференциации</v>
      </c>
      <c r="I43" s="1390"/>
      <c r="J43" s="1390"/>
      <c r="K43" s="1390"/>
      <c r="L43" s="1390"/>
      <c r="M43" s="1390"/>
      <c r="N43" s="1390"/>
      <c r="O43" s="1390"/>
      <c r="P43" s="1390"/>
      <c r="Q43" s="1390"/>
      <c r="R43" s="1390"/>
      <c r="S43" s="416"/>
      <c r="T43" s="414"/>
      <c r="U43" s="104"/>
      <c r="V43" s="104"/>
      <c r="W43" s="62"/>
      <c r="X43" s="62"/>
      <c r="Y43" s="62"/>
      <c r="Z43" s="62"/>
      <c r="AA43" s="104"/>
      <c r="AB43" s="62"/>
      <c r="AC43" s="1393"/>
      <c r="AD43" s="62"/>
      <c r="AE43" s="359"/>
      <c r="AF43" s="359"/>
      <c r="AG43" s="360"/>
      <c r="AH43" s="361"/>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62"/>
      <c r="BW43" s="62"/>
      <c r="BX43" s="62"/>
      <c r="BY43" s="62"/>
      <c r="BZ43" s="62"/>
      <c r="CA43" s="62"/>
      <c r="CB43" s="62"/>
      <c r="CC43" s="62"/>
      <c r="CD43" s="62"/>
      <c r="CE43" s="62"/>
      <c r="CF43"/>
    </row>
    <row r="44" spans="1:84" ht="24.75" hidden="1" customHeight="1">
      <c r="A44" s="301"/>
      <c r="B44" s="63"/>
      <c r="C44" s="235"/>
      <c r="D44" s="1398"/>
      <c r="E44" s="1392" t="s">
        <v>624</v>
      </c>
      <c r="F44" s="1392"/>
      <c r="G44" s="1392"/>
      <c r="H44" s="1392"/>
      <c r="I44" s="1392"/>
      <c r="J44" s="1392"/>
      <c r="K44" s="1392"/>
      <c r="L44" s="1392"/>
      <c r="M44" s="1392"/>
      <c r="N44" s="1392"/>
      <c r="O44" s="1392"/>
      <c r="P44" s="1392"/>
      <c r="Q44" s="322">
        <f>SUMIF(T45:T46,"i",Q45:Q46)</f>
        <v>0</v>
      </c>
      <c r="R44" s="596"/>
      <c r="S44" s="153" t="s">
        <v>625</v>
      </c>
      <c r="T44" s="414" t="s">
        <v>626</v>
      </c>
      <c r="U44" s="1297">
        <v>1</v>
      </c>
      <c r="V44" s="1297" t="str">
        <f>INDEX(B_FHD_FLAG_INDEX_1,1,MATCH(A41,B_FHD_FLAG_DIFFERENTIATION,0))</f>
        <v>отсутствует</v>
      </c>
      <c r="W44" s="63"/>
      <c r="X44" s="63"/>
      <c r="Y44" s="63"/>
      <c r="Z44" s="63"/>
      <c r="AA44" s="68"/>
      <c r="AB44" s="63"/>
      <c r="AC44" s="1393"/>
      <c r="AD44" s="62"/>
      <c r="AE44" s="63"/>
      <c r="AF44" s="63"/>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3"/>
      <c r="BW44" s="63"/>
      <c r="BX44" s="63"/>
      <c r="BY44" s="63"/>
      <c r="BZ44" s="63"/>
      <c r="CA44" s="63"/>
      <c r="CB44" s="63"/>
      <c r="CC44" s="63"/>
      <c r="CD44" s="63"/>
      <c r="CE44" s="63"/>
      <c r="CF44"/>
    </row>
    <row r="45" spans="1:84" ht="11.25" hidden="1" customHeight="1">
      <c r="A45" s="122"/>
      <c r="B45" s="68"/>
      <c r="C45" s="68"/>
      <c r="D45" s="1398"/>
      <c r="E45" s="362"/>
      <c r="F45" s="362">
        <v>0</v>
      </c>
      <c r="G45" s="362"/>
      <c r="H45" s="362"/>
      <c r="I45" s="362"/>
      <c r="J45" s="362"/>
      <c r="K45" s="362"/>
      <c r="L45" s="362"/>
      <c r="M45" s="362"/>
      <c r="N45" s="362"/>
      <c r="O45" s="362"/>
      <c r="P45" s="362"/>
      <c r="Q45" s="362"/>
      <c r="R45" s="362"/>
      <c r="S45" s="317"/>
      <c r="T45" s="415"/>
      <c r="U45" s="1297"/>
      <c r="V45" s="1297"/>
      <c r="W45" s="68"/>
      <c r="X45" s="68"/>
      <c r="Y45" s="68"/>
      <c r="Z45" s="68"/>
      <c r="AA45" s="68"/>
      <c r="AB45" s="63"/>
      <c r="AC45" s="1393"/>
      <c r="AD45" s="62"/>
      <c r="AE45" s="63"/>
      <c r="AF45" s="63"/>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row>
    <row r="46" spans="1:84" ht="11.25" hidden="1" customHeight="1">
      <c r="A46" s="301"/>
      <c r="B46" s="63"/>
      <c r="C46" s="235"/>
      <c r="D46" s="1398"/>
      <c r="E46" s="184" t="s">
        <v>22</v>
      </c>
      <c r="F46" s="110" t="s">
        <v>22</v>
      </c>
      <c r="G46" s="110" t="s">
        <v>629</v>
      </c>
      <c r="H46" s="52" t="s">
        <v>22</v>
      </c>
      <c r="I46" s="52"/>
      <c r="J46" s="52"/>
      <c r="K46" s="52"/>
      <c r="L46" s="52"/>
      <c r="M46" s="52"/>
      <c r="N46" s="52"/>
      <c r="O46" s="52"/>
      <c r="P46" s="52"/>
      <c r="Q46" s="52"/>
      <c r="R46" s="352"/>
      <c r="S46" s="371"/>
      <c r="T46" s="415"/>
      <c r="U46" s="1297"/>
      <c r="V46" s="1297"/>
      <c r="W46" s="63"/>
      <c r="X46" s="63"/>
      <c r="Y46" s="63"/>
      <c r="Z46" s="63"/>
      <c r="AA46" s="68"/>
      <c r="AB46" s="63"/>
      <c r="AC46" s="1393"/>
      <c r="AD46" s="62"/>
      <c r="AE46" s="63"/>
      <c r="AF46" s="63"/>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3"/>
      <c r="BW46" s="63"/>
      <c r="BX46" s="63"/>
      <c r="BY46" s="63"/>
      <c r="BZ46" s="63"/>
      <c r="CA46" s="63"/>
      <c r="CB46" s="63"/>
      <c r="CC46" s="63"/>
      <c r="CD46" s="63"/>
      <c r="CE46" s="63"/>
      <c r="CF46"/>
    </row>
    <row r="47" spans="1:84" ht="24.75" hidden="1" customHeight="1">
      <c r="A47" s="301"/>
      <c r="B47" s="63"/>
      <c r="C47" s="235"/>
      <c r="D47" s="1398"/>
      <c r="E47" s="1392" t="s">
        <v>627</v>
      </c>
      <c r="F47" s="1392"/>
      <c r="G47" s="1392"/>
      <c r="H47" s="1392"/>
      <c r="I47" s="1392"/>
      <c r="J47" s="1392"/>
      <c r="K47" s="1392"/>
      <c r="L47" s="1392"/>
      <c r="M47" s="1392"/>
      <c r="N47" s="1392"/>
      <c r="O47" s="1392"/>
      <c r="P47" s="1392"/>
      <c r="Q47" s="322">
        <f>SUMIF(T48:T49,"i",Q48:Q49)</f>
        <v>0</v>
      </c>
      <c r="R47" s="596"/>
      <c r="S47" s="153" t="s">
        <v>628</v>
      </c>
      <c r="T47" s="414" t="s">
        <v>626</v>
      </c>
      <c r="U47" s="1297">
        <v>1</v>
      </c>
      <c r="V47" s="1297" t="str">
        <f>INDEX(B_FHD_FLAG_INDEX_2,1,MATCH(A41,B_FHD_FLAG_DIFFERENTIATION,0))</f>
        <v>отсутствует</v>
      </c>
      <c r="W47" s="63"/>
      <c r="X47" s="63"/>
      <c r="Y47" s="63"/>
      <c r="Z47" s="63"/>
      <c r="AA47" s="68"/>
      <c r="AB47" s="63"/>
      <c r="AC47" s="407"/>
      <c r="AD47" s="62"/>
      <c r="AE47" s="63"/>
      <c r="AF47" s="63"/>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3"/>
      <c r="BW47" s="63"/>
      <c r="BX47" s="63"/>
      <c r="BY47" s="63"/>
      <c r="BZ47" s="63"/>
      <c r="CA47" s="63"/>
      <c r="CB47" s="63"/>
      <c r="CC47" s="63"/>
      <c r="CD47" s="63"/>
      <c r="CE47" s="63"/>
      <c r="CF47"/>
    </row>
    <row r="48" spans="1:84" ht="11.25" hidden="1" customHeight="1">
      <c r="A48" s="122"/>
      <c r="B48" s="68"/>
      <c r="C48" s="68"/>
      <c r="D48" s="1398"/>
      <c r="E48" s="362"/>
      <c r="F48" s="362">
        <v>0</v>
      </c>
      <c r="G48" s="362"/>
      <c r="H48" s="362"/>
      <c r="I48" s="362"/>
      <c r="J48" s="362"/>
      <c r="K48" s="362"/>
      <c r="L48" s="362"/>
      <c r="M48" s="362"/>
      <c r="N48" s="362"/>
      <c r="O48" s="362"/>
      <c r="P48" s="362"/>
      <c r="Q48" s="362"/>
      <c r="R48" s="362"/>
      <c r="S48" s="317"/>
      <c r="T48" s="415"/>
      <c r="U48" s="1297"/>
      <c r="V48" s="1297"/>
      <c r="W48" s="68"/>
      <c r="X48" s="68"/>
      <c r="Y48" s="68"/>
      <c r="Z48" s="68"/>
      <c r="AA48" s="68"/>
      <c r="AB48" s="63"/>
      <c r="AC48" s="407"/>
      <c r="AD48" s="62"/>
      <c r="AE48" s="63"/>
      <c r="AF48" s="63"/>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row>
    <row r="49" spans="1:84" ht="11.25" hidden="1" customHeight="1">
      <c r="A49" s="301"/>
      <c r="B49" s="63"/>
      <c r="C49" s="235"/>
      <c r="D49" s="1399"/>
      <c r="E49" s="184" t="s">
        <v>22</v>
      </c>
      <c r="F49" s="110" t="s">
        <v>22</v>
      </c>
      <c r="G49" s="110" t="s">
        <v>629</v>
      </c>
      <c r="H49" s="52" t="s">
        <v>22</v>
      </c>
      <c r="I49" s="52"/>
      <c r="J49" s="52"/>
      <c r="K49" s="52"/>
      <c r="L49" s="52"/>
      <c r="M49" s="52"/>
      <c r="N49" s="52"/>
      <c r="O49" s="52"/>
      <c r="P49" s="52"/>
      <c r="Q49" s="52"/>
      <c r="R49" s="352"/>
      <c r="S49" s="371"/>
      <c r="T49" s="415"/>
      <c r="U49" s="1297"/>
      <c r="V49" s="1297"/>
      <c r="W49" s="63"/>
      <c r="X49" s="63"/>
      <c r="Y49" s="63"/>
      <c r="Z49" s="63"/>
      <c r="AA49" s="68"/>
      <c r="AB49" s="63"/>
      <c r="AC49" s="407"/>
      <c r="AD49" s="62"/>
      <c r="AE49" s="63"/>
      <c r="AF49" s="63"/>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3"/>
      <c r="BW49" s="63"/>
      <c r="BX49" s="63"/>
      <c r="BY49" s="63"/>
      <c r="BZ49" s="63"/>
      <c r="CA49" s="63"/>
      <c r="CB49" s="63"/>
      <c r="CC49" s="63"/>
      <c r="CD49" s="63"/>
      <c r="CE49" s="63"/>
      <c r="CF49"/>
    </row>
    <row r="50" spans="1:84" ht="19.899999999999999" customHeight="1">
      <c r="D50" s="618"/>
      <c r="E50" s="618"/>
      <c r="F50" s="618"/>
      <c r="G50" s="618"/>
      <c r="H50" s="618"/>
      <c r="I50" s="618"/>
      <c r="J50" s="618"/>
      <c r="K50" s="618"/>
      <c r="L50" s="618"/>
      <c r="M50" s="618"/>
      <c r="N50" s="618"/>
      <c r="O50" s="618"/>
      <c r="P50" s="618"/>
      <c r="Q50" s="618"/>
      <c r="R50" s="618"/>
      <c r="S50" s="618"/>
      <c r="T50" s="196"/>
      <c r="CF50" s="11">
        <v>19</v>
      </c>
    </row>
    <row r="51" spans="1:84" ht="11.45" customHeight="1">
      <c r="CF51" s="11">
        <v>11</v>
      </c>
    </row>
    <row r="52" spans="1:84" ht="11.45" customHeight="1">
      <c r="D52" s="78"/>
      <c r="E52" s="78"/>
      <c r="F52" s="78"/>
      <c r="G52" s="35"/>
      <c r="CF52" s="11">
        <v>11</v>
      </c>
    </row>
    <row r="53" spans="1:84" ht="11.45" customHeight="1">
      <c r="CF53" s="11">
        <v>11</v>
      </c>
    </row>
    <row r="54" spans="1:84" ht="11.45" customHeight="1">
      <c r="D54" s="372"/>
      <c r="E54" s="1391"/>
      <c r="F54" s="1391"/>
      <c r="G54" s="1391"/>
      <c r="H54" s="1391"/>
      <c r="I54" s="1391"/>
      <c r="J54" s="1391"/>
      <c r="K54" s="1391"/>
      <c r="L54" s="1391"/>
      <c r="M54" s="1391"/>
      <c r="N54" s="1391"/>
      <c r="O54" s="1391"/>
      <c r="P54" s="1391"/>
      <c r="Q54" s="1391"/>
      <c r="R54" s="1391"/>
      <c r="CF54" s="11">
        <v>11</v>
      </c>
    </row>
    <row r="55" spans="1:84" ht="11.45" customHeight="1">
      <c r="CF55" s="11">
        <v>11</v>
      </c>
    </row>
    <row r="56" spans="1:84" ht="11.25" hidden="1" customHeight="1">
      <c r="A56" s="355" t="s">
        <v>82</v>
      </c>
      <c r="B56" s="8">
        <v>0</v>
      </c>
      <c r="C56" s="11">
        <v>3</v>
      </c>
      <c r="D56" s="11">
        <v>0</v>
      </c>
      <c r="E56" s="11">
        <v>7</v>
      </c>
      <c r="F56" s="11">
        <v>7</v>
      </c>
      <c r="G56" s="11">
        <v>29</v>
      </c>
      <c r="H56" s="11">
        <v>3</v>
      </c>
      <c r="I56" s="11">
        <v>5</v>
      </c>
      <c r="J56" s="11">
        <v>24</v>
      </c>
      <c r="K56" s="11">
        <v>24</v>
      </c>
      <c r="L56" s="11">
        <v>3</v>
      </c>
      <c r="M56" s="11">
        <v>6</v>
      </c>
      <c r="N56" s="11">
        <v>25</v>
      </c>
      <c r="O56" s="11">
        <v>18</v>
      </c>
      <c r="P56" s="11">
        <v>18</v>
      </c>
      <c r="Q56" s="11">
        <v>18</v>
      </c>
      <c r="R56" s="11">
        <v>18</v>
      </c>
      <c r="S56" s="11">
        <v>93</v>
      </c>
      <c r="T56" s="11">
        <v>10</v>
      </c>
      <c r="U56" s="68">
        <v>10</v>
      </c>
      <c r="V56" s="68">
        <v>11</v>
      </c>
      <c r="W56" s="8">
        <v>10</v>
      </c>
      <c r="X56" s="8">
        <v>10</v>
      </c>
      <c r="Y56" s="8">
        <v>10</v>
      </c>
      <c r="Z56" s="8">
        <v>10</v>
      </c>
      <c r="AA56" s="8">
        <v>10</v>
      </c>
      <c r="AB56" s="11">
        <v>8</v>
      </c>
      <c r="AC56" s="11">
        <v>8</v>
      </c>
      <c r="AD56" s="11">
        <v>8</v>
      </c>
      <c r="AE56" s="11">
        <v>8</v>
      </c>
      <c r="AF56" s="11">
        <v>8</v>
      </c>
      <c r="AG56" s="11">
        <v>8</v>
      </c>
      <c r="AH56" s="11">
        <v>8</v>
      </c>
      <c r="AI56" s="11">
        <v>8</v>
      </c>
      <c r="AJ56" s="11">
        <v>8</v>
      </c>
      <c r="AK56" s="11">
        <v>8</v>
      </c>
      <c r="AL56" s="11">
        <v>8</v>
      </c>
      <c r="AM56" s="11">
        <v>8</v>
      </c>
      <c r="AN56" s="11">
        <v>8</v>
      </c>
      <c r="AO56" s="11">
        <v>8</v>
      </c>
      <c r="AP56" s="11">
        <v>8</v>
      </c>
      <c r="AQ56" s="11">
        <v>8</v>
      </c>
      <c r="AR56" s="11">
        <v>8</v>
      </c>
      <c r="AS56" s="11">
        <v>8</v>
      </c>
      <c r="AT56" s="11">
        <v>8</v>
      </c>
      <c r="AU56" s="11">
        <v>8</v>
      </c>
      <c r="AV56" s="11">
        <v>8</v>
      </c>
      <c r="AW56" s="11">
        <v>8</v>
      </c>
      <c r="AX56" s="11">
        <v>8</v>
      </c>
      <c r="AY56" s="11">
        <v>8</v>
      </c>
      <c r="AZ56" s="11">
        <v>8</v>
      </c>
      <c r="BA56" s="11">
        <v>8</v>
      </c>
      <c r="BB56" s="11">
        <v>8</v>
      </c>
      <c r="BC56" s="11">
        <v>8</v>
      </c>
      <c r="BD56" s="11">
        <v>8</v>
      </c>
      <c r="BE56" s="11">
        <v>8</v>
      </c>
      <c r="BF56" s="11">
        <v>8</v>
      </c>
      <c r="BG56" s="11">
        <v>8</v>
      </c>
      <c r="BH56" s="11">
        <v>8</v>
      </c>
      <c r="BI56" s="11">
        <v>8</v>
      </c>
      <c r="BJ56" s="11">
        <v>8</v>
      </c>
      <c r="BK56" s="11">
        <v>8</v>
      </c>
      <c r="BL56" s="11">
        <v>8</v>
      </c>
      <c r="BM56" s="11">
        <v>8</v>
      </c>
      <c r="BN56" s="11">
        <v>8</v>
      </c>
      <c r="BO56" s="11">
        <v>8</v>
      </c>
      <c r="BP56" s="11">
        <v>8</v>
      </c>
      <c r="BQ56" s="11">
        <v>8</v>
      </c>
      <c r="BR56" s="11">
        <v>8</v>
      </c>
      <c r="BS56" s="11">
        <v>8</v>
      </c>
      <c r="BT56" s="11">
        <v>8</v>
      </c>
      <c r="BU56" s="11">
        <v>8</v>
      </c>
      <c r="BV56" s="11">
        <v>8</v>
      </c>
      <c r="BW56" s="11">
        <v>8</v>
      </c>
      <c r="BX56" s="11">
        <v>8</v>
      </c>
      <c r="BY56" s="11">
        <v>8</v>
      </c>
      <c r="BZ56" s="11">
        <v>8</v>
      </c>
      <c r="CA56" s="11">
        <v>8</v>
      </c>
      <c r="CB56" s="11">
        <v>8</v>
      </c>
      <c r="CC56" s="11">
        <v>8</v>
      </c>
      <c r="CD56" s="11">
        <v>8</v>
      </c>
      <c r="CE56" s="11">
        <v>8</v>
      </c>
      <c r="CF56" s="11">
        <v>11</v>
      </c>
    </row>
  </sheetData>
  <sheetProtection formatColumns="0" formatRows="0" insertRows="0" deleteColumns="0" deleteRows="0" sort="0" autoFilter="0"/>
  <mergeCells count="64">
    <mergeCell ref="AC41:AC46"/>
    <mergeCell ref="E42:G42"/>
    <mergeCell ref="H42:R42"/>
    <mergeCell ref="E43:G43"/>
    <mergeCell ref="H43:R43"/>
    <mergeCell ref="E44:P44"/>
    <mergeCell ref="U44:U46"/>
    <mergeCell ref="V44:V46"/>
    <mergeCell ref="U47:U49"/>
    <mergeCell ref="V47:V49"/>
    <mergeCell ref="D41:D49"/>
    <mergeCell ref="E41:G41"/>
    <mergeCell ref="H41:R41"/>
    <mergeCell ref="E47:P47"/>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N204"/>
  <sheetViews>
    <sheetView showGridLines="0" topLeftCell="H5" zoomScale="90" workbookViewId="0">
      <selection activeCell="P9" sqref="P9"/>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6" width="40.5703125" style="11" customWidth="1"/>
    <col min="17" max="17" width="9.7109375" style="63" hidden="1" customWidth="1"/>
    <col min="18" max="18" width="102" style="11" customWidth="1"/>
    <col min="19" max="19" width="9" style="63" customWidth="1"/>
    <col min="20" max="20" width="5" style="68" customWidth="1"/>
    <col min="21" max="21" width="3" style="68" customWidth="1"/>
    <col min="22" max="25" width="3" style="63" customWidth="1"/>
    <col min="26" max="26" width="10" style="68" customWidth="1"/>
    <col min="27" max="27" width="34" style="63" customWidth="1"/>
    <col min="28" max="28" width="9" style="63" customWidth="1"/>
    <col min="29" max="29" width="8" style="309" customWidth="1"/>
    <col min="30" max="34" width="8" style="63" customWidth="1"/>
    <col min="35" max="39" width="8" style="8" customWidth="1"/>
    <col min="40" max="40" width="5.42578125" style="11" hidden="1" customWidth="1"/>
  </cols>
  <sheetData>
    <row r="1" spans="1:40" s="63" customFormat="1" ht="33.75" hidden="1" customHeight="1">
      <c r="A1" s="572"/>
      <c r="B1" s="572"/>
      <c r="C1" s="572"/>
      <c r="D1" s="572"/>
      <c r="E1" s="572"/>
      <c r="G1" s="68"/>
      <c r="L1" s="63">
        <v>4</v>
      </c>
      <c r="M1" s="63">
        <v>4</v>
      </c>
      <c r="N1" s="63">
        <v>4</v>
      </c>
      <c r="O1" s="63">
        <v>4</v>
      </c>
      <c r="P1" s="63">
        <v>4</v>
      </c>
      <c r="T1" s="68"/>
      <c r="U1" s="68"/>
      <c r="Z1" s="68"/>
      <c r="AN1" s="63" t="s">
        <v>14</v>
      </c>
    </row>
    <row r="2" spans="1:40" s="63" customFormat="1" ht="78.75" hidden="1" customHeight="1">
      <c r="A2" s="572"/>
      <c r="B2" s="1083" t="s">
        <v>632</v>
      </c>
      <c r="C2" s="1083" t="s">
        <v>633</v>
      </c>
      <c r="D2" s="1082" t="s">
        <v>634</v>
      </c>
      <c r="E2" s="1085" t="e">
        <f>RIGHT(I2,LEN(I2)-SEARCH("#",SUBSTITUTE(I2,".","#",LEN(I2)-LEN(SUBSTITUTE(I2,".","")))))</f>
        <v>#VALUE!</v>
      </c>
      <c r="F2" s="1085">
        <f>J2</f>
        <v>0</v>
      </c>
      <c r="G2" s="68"/>
      <c r="H2" s="344"/>
      <c r="I2" s="43"/>
      <c r="J2" s="305"/>
      <c r="K2" s="395" t="s">
        <v>560</v>
      </c>
      <c r="L2" s="306"/>
      <c r="M2" s="306"/>
      <c r="N2" s="306"/>
      <c r="O2" s="306"/>
      <c r="P2" s="306"/>
      <c r="Q2" s="308"/>
      <c r="R2" s="67" t="s">
        <v>561</v>
      </c>
      <c r="S2" s="308"/>
      <c r="T2" s="68"/>
      <c r="U2" s="68"/>
      <c r="Z2" s="68"/>
      <c r="AC2" s="309"/>
      <c r="AI2" s="8"/>
      <c r="AJ2" s="8"/>
      <c r="AK2" s="8"/>
      <c r="AL2" s="8"/>
      <c r="AM2" s="8"/>
      <c r="AN2" s="63">
        <v>0</v>
      </c>
    </row>
    <row r="3" spans="1:40" ht="11.25" hidden="1" customHeight="1">
      <c r="E3" s="1081" t="s">
        <v>635</v>
      </c>
      <c r="L3" s="11">
        <f>0</f>
        <v>0</v>
      </c>
      <c r="M3" s="11">
        <v>1</v>
      </c>
      <c r="N3" s="11">
        <f>0</f>
        <v>0</v>
      </c>
      <c r="O3" s="11">
        <f>0</f>
        <v>0</v>
      </c>
      <c r="P3" s="11">
        <f>0</f>
        <v>0</v>
      </c>
      <c r="AN3" s="11">
        <v>0</v>
      </c>
    </row>
    <row r="4" spans="1:40" s="8" customFormat="1" ht="11.25" hidden="1" customHeight="1">
      <c r="A4" s="572"/>
      <c r="B4" s="572"/>
      <c r="C4" s="572"/>
      <c r="E4" s="572"/>
      <c r="F4" s="63"/>
      <c r="G4" s="68"/>
      <c r="Q4" s="63"/>
      <c r="R4" s="8">
        <v>4</v>
      </c>
      <c r="S4" s="63"/>
      <c r="T4" s="68"/>
      <c r="U4" s="68"/>
      <c r="V4" s="63"/>
      <c r="W4" s="63"/>
      <c r="X4" s="63"/>
      <c r="Y4" s="63"/>
      <c r="Z4" s="68"/>
      <c r="AA4" s="63"/>
      <c r="AB4" s="63"/>
      <c r="AC4" s="309"/>
      <c r="AD4" s="63"/>
      <c r="AE4" s="63"/>
      <c r="AF4" s="63"/>
      <c r="AG4" s="63"/>
      <c r="AH4" s="63"/>
      <c r="AN4" s="8">
        <v>0</v>
      </c>
    </row>
    <row r="5" spans="1:40" ht="11.45" customHeight="1">
      <c r="AN5" s="11">
        <v>11</v>
      </c>
    </row>
    <row r="6" spans="1:40" ht="57.75" customHeight="1">
      <c r="I6" s="1223" t="s">
        <v>636</v>
      </c>
      <c r="J6" s="1223"/>
      <c r="K6" s="1223"/>
      <c r="L6" s="1223"/>
      <c r="M6" s="1223"/>
      <c r="N6" s="1104"/>
      <c r="O6" s="1104"/>
      <c r="P6" s="1104"/>
      <c r="R6" s="59"/>
      <c r="AN6" s="11">
        <v>55</v>
      </c>
    </row>
    <row r="7" spans="1:40" ht="25.15" customHeight="1">
      <c r="I7" s="1246" t="str">
        <f>IF(org=0,"Не определено",org)</f>
        <v>Сургутское городское муниципальное унитарное предприятие "Горводоканал"</v>
      </c>
      <c r="J7" s="1246"/>
      <c r="K7" s="1246"/>
      <c r="L7" s="1246"/>
      <c r="M7" s="1246"/>
      <c r="N7" s="1103"/>
      <c r="O7" s="1103"/>
      <c r="P7" s="1103"/>
      <c r="AN7" s="11">
        <v>24</v>
      </c>
    </row>
    <row r="8" spans="1:40" ht="11.45" customHeight="1">
      <c r="I8" s="668"/>
      <c r="J8" s="668"/>
      <c r="K8" s="668"/>
      <c r="L8" s="668"/>
      <c r="M8" s="668"/>
      <c r="N8" s="668" t="s">
        <v>22</v>
      </c>
      <c r="O8" s="668" t="s">
        <v>22</v>
      </c>
      <c r="P8" s="668" t="s">
        <v>22</v>
      </c>
      <c r="AN8" s="11">
        <v>11</v>
      </c>
    </row>
    <row r="9" spans="1:40" s="68" customFormat="1" ht="30" hidden="1" customHeight="1">
      <c r="A9" s="313"/>
      <c r="B9" s="313"/>
      <c r="C9" s="313"/>
      <c r="E9" s="313"/>
      <c r="L9" s="514"/>
      <c r="M9" s="514" t="s">
        <v>117</v>
      </c>
      <c r="N9" s="514" t="s">
        <v>123</v>
      </c>
      <c r="O9" s="514" t="s">
        <v>125</v>
      </c>
      <c r="P9" s="514" t="s">
        <v>127</v>
      </c>
      <c r="AN9" s="68">
        <v>1</v>
      </c>
    </row>
    <row r="10" spans="1:40" ht="11.45" customHeight="1">
      <c r="E10" s="1080" t="s">
        <v>637</v>
      </c>
      <c r="I10" s="409"/>
      <c r="J10" s="1383" t="s">
        <v>105</v>
      </c>
      <c r="K10" s="1384"/>
      <c r="L10" s="858" t="str">
        <f>IF(L9="","",INDEX(DIFFERENTIATION_UNMERGE_VD,MATCH(L9,DIFFERENTIATION_ID_DIFF,0)))</f>
        <v/>
      </c>
      <c r="M10" s="858" t="str">
        <f>IF(M9="","",INDEX(DIFFERENTIATION_UNMERGE_VD,MATCH(M9,DIFFERENTIATION_ID_DIFF,0)))</f>
        <v>Холодное водоснабжение. Питьевая вода</v>
      </c>
      <c r="N10" s="858" t="str">
        <f>IF(N9="","",INDEX(DIFFERENTIATION_UNMERGE_VD,MATCH(N9,DIFFERENTIATION_ID_DIFF,0)))</f>
        <v>Транспортировка. Питьевая вода</v>
      </c>
      <c r="O10" s="858" t="str">
        <f>IF(O9="","",INDEX(DIFFERENTIATION_UNMERGE_VD,MATCH(O9,DIFFERENTIATION_ID_DIFF,0)))</f>
        <v>Подключение (технологическое присоединение) к централизованной системе водоснабжения</v>
      </c>
      <c r="P10" s="858" t="str">
        <f>IF(P9="","",INDEX(DIFFERENTIATION_UNMERGE_VD,MATCH(P9,DIFFERENTIATION_ID_DIFF,0)))</f>
        <v>Холодное водоснабжение. Подвозная вода</v>
      </c>
      <c r="R10" s="1159" t="s">
        <v>307</v>
      </c>
      <c r="AN10" s="11">
        <v>11</v>
      </c>
    </row>
    <row r="11" spans="1:40" ht="11.45" customHeight="1">
      <c r="E11" s="1080" t="s">
        <v>638</v>
      </c>
      <c r="I11" s="409"/>
      <c r="J11" s="1383" t="s">
        <v>568</v>
      </c>
      <c r="K11" s="1384"/>
      <c r="L11" s="858" t="str">
        <f>IF(L9="","",INDEX(DIFFERENTIATION_UNMERGE_AREA,MATCH(L9,DIFFERENTIATION_ID_DIFF,0)))</f>
        <v/>
      </c>
      <c r="M11" s="858" t="str">
        <f>IF(M9="","",INDEX(DIFFERENTIATION_UNMERGE_AREA,MATCH(M9,DIFFERENTIATION_ID_DIFF,0)))</f>
        <v>без дифференциации</v>
      </c>
      <c r="N11" s="858" t="str">
        <f>IF(N9="","",INDEX(DIFFERENTIATION_UNMERGE_AREA,MATCH(N9,DIFFERENTIATION_ID_DIFF,0)))</f>
        <v>без дифференциации</v>
      </c>
      <c r="O11" s="858" t="str">
        <f>IF(O9="","",INDEX(DIFFERENTIATION_UNMERGE_AREA,MATCH(O9,DIFFERENTIATION_ID_DIFF,0)))</f>
        <v>без дифференциации</v>
      </c>
      <c r="P11" s="858" t="str">
        <f>IF(P9="","",INDEX(DIFFERENTIATION_UNMERGE_AREA,MATCH(P9,DIFFERENTIATION_ID_DIFF,0)))</f>
        <v>без дифференциации</v>
      </c>
      <c r="R11" s="1159"/>
      <c r="AN11" s="11">
        <v>11</v>
      </c>
    </row>
    <row r="12" spans="1:40" ht="11.45" customHeight="1">
      <c r="E12" s="1080" t="s">
        <v>639</v>
      </c>
      <c r="I12" s="896"/>
      <c r="J12" s="1383" t="s">
        <v>569</v>
      </c>
      <c r="K12" s="1384"/>
      <c r="L12" s="858" t="str">
        <f>IF(L9="","",INDEX(DIFFERENTIATION_UNMERGE_SYSTEM,MATCH(L9,DIFFERENTIATION_ID_DIFF,0)))</f>
        <v/>
      </c>
      <c r="M12" s="858" t="str">
        <f>IF(M9="","",INDEX(DIFFERENTIATION_UNMERGE_SYSTEM,MATCH(M9,DIFFERENTIATION_ID_DIFF,0)))</f>
        <v>без дифференциации</v>
      </c>
      <c r="N12" s="858" t="str">
        <f>IF(N9="","",INDEX(DIFFERENTIATION_UNMERGE_SYSTEM,MATCH(N9,DIFFERENTIATION_ID_DIFF,0)))</f>
        <v>без дифференциации</v>
      </c>
      <c r="O12" s="858" t="str">
        <f>IF(O9="","",INDEX(DIFFERENTIATION_UNMERGE_SYSTEM,MATCH(O9,DIFFERENTIATION_ID_DIFF,0)))</f>
        <v>без дифференциации</v>
      </c>
      <c r="P12" s="858" t="str">
        <f>IF(P9="","",INDEX(DIFFERENTIATION_UNMERGE_SYSTEM,MATCH(P9,DIFFERENTIATION_ID_DIFF,0)))</f>
        <v>без дифференциации</v>
      </c>
      <c r="R12" s="1159"/>
      <c r="AN12" s="11">
        <v>11</v>
      </c>
    </row>
    <row r="13" spans="1:40" ht="11.45" customHeight="1">
      <c r="E13" s="1080" t="s">
        <v>640</v>
      </c>
      <c r="F13" s="1080" t="s">
        <v>641</v>
      </c>
      <c r="I13" s="1385" t="s">
        <v>306</v>
      </c>
      <c r="J13" s="1386"/>
      <c r="K13" s="1386"/>
      <c r="L13" s="512"/>
      <c r="M13" s="1086"/>
      <c r="N13" s="512"/>
      <c r="O13" s="512"/>
      <c r="P13" s="512"/>
      <c r="R13" s="1159"/>
      <c r="AN13" s="11">
        <v>11</v>
      </c>
    </row>
    <row r="14" spans="1:40" ht="24" customHeight="1">
      <c r="I14" s="41" t="s">
        <v>88</v>
      </c>
      <c r="J14" s="41" t="s">
        <v>308</v>
      </c>
      <c r="K14" s="41" t="s">
        <v>570</v>
      </c>
      <c r="L14" s="389" t="s">
        <v>309</v>
      </c>
      <c r="M14" s="41" t="s">
        <v>309</v>
      </c>
      <c r="N14" s="389" t="s">
        <v>309</v>
      </c>
      <c r="O14" s="389" t="s">
        <v>309</v>
      </c>
      <c r="P14" s="389" t="s">
        <v>309</v>
      </c>
      <c r="R14" s="1159"/>
      <c r="AN14" s="11">
        <v>23</v>
      </c>
    </row>
    <row r="15" spans="1:40" ht="24" customHeight="1">
      <c r="A15" s="1084"/>
      <c r="B15" s="1083" t="s">
        <v>642</v>
      </c>
      <c r="C15" s="1083" t="s">
        <v>643</v>
      </c>
      <c r="D15" s="1082" t="s">
        <v>644</v>
      </c>
      <c r="E15" s="1085" t="s">
        <v>645</v>
      </c>
      <c r="F15" s="1085" t="s">
        <v>645</v>
      </c>
      <c r="G15" s="68" t="s">
        <v>587</v>
      </c>
      <c r="H15" s="55"/>
      <c r="I15" s="894">
        <v>1</v>
      </c>
      <c r="J15" s="153" t="s">
        <v>646</v>
      </c>
      <c r="K15" s="41" t="s">
        <v>312</v>
      </c>
      <c r="L15" s="375"/>
      <c r="M15" s="228"/>
      <c r="N15" s="375"/>
      <c r="O15" s="375"/>
      <c r="P15" s="375"/>
      <c r="Q15" s="308" t="s">
        <v>647</v>
      </c>
      <c r="R15" s="67" t="s">
        <v>648</v>
      </c>
      <c r="S15" s="308" t="s">
        <v>647</v>
      </c>
      <c r="AN15" s="11">
        <v>23</v>
      </c>
    </row>
    <row r="16" spans="1:40" ht="35.65" customHeight="1">
      <c r="A16" s="1084"/>
      <c r="B16" s="1083" t="s">
        <v>649</v>
      </c>
      <c r="C16" s="1083" t="s">
        <v>650</v>
      </c>
      <c r="D16" s="1082" t="s">
        <v>634</v>
      </c>
      <c r="E16" s="1085" t="s">
        <v>645</v>
      </c>
      <c r="F16" s="1085" t="s">
        <v>645</v>
      </c>
      <c r="H16" s="55"/>
      <c r="I16" s="893">
        <v>2</v>
      </c>
      <c r="J16" s="878" t="s">
        <v>651</v>
      </c>
      <c r="K16" s="340" t="s">
        <v>560</v>
      </c>
      <c r="L16" s="1087"/>
      <c r="M16" s="901"/>
      <c r="N16" s="1087"/>
      <c r="O16" s="1087"/>
      <c r="P16" s="1087"/>
      <c r="Q16" s="308" t="s">
        <v>647</v>
      </c>
      <c r="R16" s="67" t="s">
        <v>652</v>
      </c>
      <c r="S16" s="308" t="s">
        <v>647</v>
      </c>
      <c r="AN16" s="11">
        <v>34</v>
      </c>
    </row>
    <row r="17" spans="1:40" s="68" customFormat="1" ht="17.25" hidden="1" customHeight="1">
      <c r="A17" s="313"/>
      <c r="B17" s="313"/>
      <c r="C17" s="313"/>
      <c r="D17" s="313"/>
      <c r="E17" s="313"/>
      <c r="H17" s="313"/>
      <c r="I17" s="316" t="s">
        <v>653</v>
      </c>
      <c r="J17" s="576"/>
      <c r="K17" s="316"/>
      <c r="L17" s="577"/>
      <c r="M17" s="577"/>
      <c r="N17" s="577"/>
      <c r="O17" s="577"/>
      <c r="P17" s="577"/>
      <c r="R17" s="781"/>
      <c r="AN17" s="68">
        <v>1</v>
      </c>
    </row>
    <row r="18" spans="1:40" s="63" customFormat="1" ht="24" customHeight="1">
      <c r="A18" s="572"/>
      <c r="B18" s="572"/>
      <c r="C18" s="572"/>
      <c r="D18" s="572"/>
      <c r="E18" s="572"/>
      <c r="G18" s="68"/>
      <c r="H18" s="77"/>
      <c r="I18" s="333"/>
      <c r="J18" s="111" t="s">
        <v>594</v>
      </c>
      <c r="K18" s="334"/>
      <c r="L18" s="1089"/>
      <c r="M18" s="335"/>
      <c r="N18" s="1089"/>
      <c r="O18" s="1089"/>
      <c r="P18" s="1089"/>
      <c r="Q18" s="308"/>
      <c r="R18" s="67" t="s">
        <v>595</v>
      </c>
      <c r="S18" s="308"/>
      <c r="T18" s="68"/>
      <c r="U18" s="68"/>
      <c r="Z18" s="68"/>
      <c r="AC18" s="309"/>
      <c r="AI18" s="8"/>
      <c r="AJ18" s="8"/>
      <c r="AK18" s="8"/>
      <c r="AL18" s="8"/>
      <c r="AM18" s="8"/>
      <c r="AN18" s="63">
        <v>23</v>
      </c>
    </row>
    <row r="19" spans="1:40" ht="19.899999999999999" customHeight="1">
      <c r="A19" s="1084"/>
      <c r="B19" s="1083" t="s">
        <v>654</v>
      </c>
      <c r="C19" s="1083" t="s">
        <v>655</v>
      </c>
      <c r="D19" s="1082" t="s">
        <v>634</v>
      </c>
      <c r="E19" s="1085" t="s">
        <v>645</v>
      </c>
      <c r="F19" s="1085" t="s">
        <v>645</v>
      </c>
      <c r="H19" s="55"/>
      <c r="I19" s="898">
        <v>3</v>
      </c>
      <c r="J19" s="153" t="s">
        <v>655</v>
      </c>
      <c r="K19" s="399" t="s">
        <v>560</v>
      </c>
      <c r="L19" s="424"/>
      <c r="M19" s="321"/>
      <c r="N19" s="424"/>
      <c r="O19" s="424"/>
      <c r="P19" s="424"/>
      <c r="Q19" s="308"/>
      <c r="R19" s="67" t="s">
        <v>656</v>
      </c>
      <c r="S19" s="308"/>
      <c r="AN19" s="11">
        <v>19</v>
      </c>
    </row>
    <row r="20" spans="1:40" ht="77.650000000000006" customHeight="1">
      <c r="A20" s="1084"/>
      <c r="B20" s="1083" t="s">
        <v>657</v>
      </c>
      <c r="C20" s="1083" t="s">
        <v>658</v>
      </c>
      <c r="D20" s="1082" t="s">
        <v>634</v>
      </c>
      <c r="E20" s="1085" t="s">
        <v>645</v>
      </c>
      <c r="F20" s="1085" t="s">
        <v>645</v>
      </c>
      <c r="H20" s="55"/>
      <c r="I20" s="898">
        <v>4</v>
      </c>
      <c r="J20" s="153" t="s">
        <v>659</v>
      </c>
      <c r="K20" s="399" t="s">
        <v>591</v>
      </c>
      <c r="L20" s="424"/>
      <c r="M20" s="321"/>
      <c r="N20" s="424"/>
      <c r="O20" s="424"/>
      <c r="P20" s="424"/>
      <c r="Q20" s="308"/>
      <c r="R20" s="67"/>
      <c r="S20" s="308"/>
      <c r="AN20" s="11">
        <v>74</v>
      </c>
    </row>
    <row r="21" spans="1:40" ht="35.65" customHeight="1">
      <c r="A21" s="1084"/>
      <c r="B21" s="1083" t="s">
        <v>660</v>
      </c>
      <c r="C21" s="1083" t="s">
        <v>661</v>
      </c>
      <c r="D21" s="1082" t="s">
        <v>634</v>
      </c>
      <c r="E21" s="1085" t="s">
        <v>645</v>
      </c>
      <c r="F21" s="1085" t="s">
        <v>645</v>
      </c>
      <c r="H21" s="55"/>
      <c r="I21" s="898">
        <v>5</v>
      </c>
      <c r="J21" s="153" t="s">
        <v>662</v>
      </c>
      <c r="K21" s="399" t="s">
        <v>591</v>
      </c>
      <c r="L21" s="424"/>
      <c r="M21" s="321"/>
      <c r="N21" s="424"/>
      <c r="O21" s="424"/>
      <c r="P21" s="424"/>
      <c r="Q21" s="308"/>
      <c r="R21" s="67" t="s">
        <v>656</v>
      </c>
      <c r="S21" s="308"/>
      <c r="AN21" s="11">
        <v>34</v>
      </c>
    </row>
    <row r="22" spans="1:40" ht="48.2" customHeight="1">
      <c r="A22" s="1084"/>
      <c r="B22" s="1083" t="s">
        <v>663</v>
      </c>
      <c r="C22" s="1083" t="s">
        <v>664</v>
      </c>
      <c r="D22" s="1082" t="s">
        <v>634</v>
      </c>
      <c r="E22" s="1085" t="s">
        <v>645</v>
      </c>
      <c r="F22" s="1085" t="s">
        <v>645</v>
      </c>
      <c r="H22" s="55"/>
      <c r="I22" s="898">
        <v>6</v>
      </c>
      <c r="J22" s="153" t="s">
        <v>665</v>
      </c>
      <c r="K22" s="399" t="s">
        <v>591</v>
      </c>
      <c r="L22" s="424"/>
      <c r="M22" s="321"/>
      <c r="N22" s="424"/>
      <c r="O22" s="424"/>
      <c r="P22" s="424"/>
      <c r="Q22" s="308"/>
      <c r="R22" s="67" t="s">
        <v>666</v>
      </c>
      <c r="S22" s="308"/>
      <c r="AN22" s="11">
        <v>46</v>
      </c>
    </row>
    <row r="23" spans="1:40" ht="19.899999999999999" customHeight="1">
      <c r="A23" s="1084"/>
      <c r="B23" s="1083" t="s">
        <v>667</v>
      </c>
      <c r="C23" s="1083" t="s">
        <v>668</v>
      </c>
      <c r="D23" s="1082" t="s">
        <v>634</v>
      </c>
      <c r="E23" s="1085" t="s">
        <v>645</v>
      </c>
      <c r="F23" s="1085" t="s">
        <v>645</v>
      </c>
      <c r="H23" s="55"/>
      <c r="I23" s="898" t="s">
        <v>669</v>
      </c>
      <c r="J23" s="323" t="s">
        <v>670</v>
      </c>
      <c r="K23" s="399" t="s">
        <v>591</v>
      </c>
      <c r="L23" s="424"/>
      <c r="M23" s="321"/>
      <c r="N23" s="424"/>
      <c r="O23" s="424"/>
      <c r="P23" s="424"/>
      <c r="Q23" s="308"/>
      <c r="R23" s="67" t="s">
        <v>656</v>
      </c>
      <c r="S23" s="308"/>
      <c r="AN23" s="11">
        <v>19</v>
      </c>
    </row>
    <row r="24" spans="1:40" ht="19.899999999999999" customHeight="1">
      <c r="A24" s="1084"/>
      <c r="B24" s="1083" t="s">
        <v>671</v>
      </c>
      <c r="C24" s="1083" t="s">
        <v>672</v>
      </c>
      <c r="D24" s="1082" t="s">
        <v>634</v>
      </c>
      <c r="E24" s="1085" t="s">
        <v>645</v>
      </c>
      <c r="F24" s="1085" t="s">
        <v>645</v>
      </c>
      <c r="H24" s="55"/>
      <c r="I24" s="898" t="s">
        <v>673</v>
      </c>
      <c r="J24" s="323" t="s">
        <v>674</v>
      </c>
      <c r="K24" s="399" t="s">
        <v>591</v>
      </c>
      <c r="L24" s="424"/>
      <c r="M24" s="321"/>
      <c r="N24" s="424"/>
      <c r="O24" s="424"/>
      <c r="P24" s="424"/>
      <c r="Q24" s="308"/>
      <c r="R24" s="67"/>
      <c r="S24" s="308"/>
      <c r="AN24" s="11">
        <v>19</v>
      </c>
    </row>
    <row r="25" spans="1:40" ht="24" customHeight="1">
      <c r="A25" s="1084"/>
      <c r="B25" s="1083" t="s">
        <v>675</v>
      </c>
      <c r="C25" s="1083" t="s">
        <v>676</v>
      </c>
      <c r="D25" s="1082" t="s">
        <v>634</v>
      </c>
      <c r="E25" s="1085" t="s">
        <v>645</v>
      </c>
      <c r="F25" s="1085" t="s">
        <v>645</v>
      </c>
      <c r="H25" s="55"/>
      <c r="I25" s="898" t="s">
        <v>677</v>
      </c>
      <c r="J25" s="323" t="s">
        <v>678</v>
      </c>
      <c r="K25" s="399" t="s">
        <v>591</v>
      </c>
      <c r="L25" s="424"/>
      <c r="M25" s="321"/>
      <c r="N25" s="424"/>
      <c r="O25" s="424"/>
      <c r="P25" s="424"/>
      <c r="Q25" s="308"/>
      <c r="R25" s="67"/>
      <c r="S25" s="308"/>
      <c r="AN25" s="11">
        <v>23</v>
      </c>
    </row>
    <row r="26" spans="1:40" ht="24" customHeight="1">
      <c r="A26" s="1084"/>
      <c r="B26" s="1083" t="s">
        <v>679</v>
      </c>
      <c r="C26" s="1083" t="s">
        <v>680</v>
      </c>
      <c r="D26" s="1082" t="s">
        <v>634</v>
      </c>
      <c r="E26" s="1085" t="s">
        <v>645</v>
      </c>
      <c r="F26" s="1085" t="s">
        <v>645</v>
      </c>
      <c r="H26" s="55"/>
      <c r="I26" s="898">
        <v>7</v>
      </c>
      <c r="J26" s="153" t="s">
        <v>680</v>
      </c>
      <c r="K26" s="399" t="s">
        <v>681</v>
      </c>
      <c r="L26" s="424"/>
      <c r="M26" s="321"/>
      <c r="N26" s="424"/>
      <c r="O26" s="424"/>
      <c r="P26" s="424"/>
      <c r="Q26" s="308"/>
      <c r="R26" s="67"/>
      <c r="S26" s="308"/>
      <c r="AN26" s="11">
        <v>23</v>
      </c>
    </row>
    <row r="27" spans="1:40" ht="24" customHeight="1">
      <c r="A27" s="1084"/>
      <c r="B27" s="1083" t="s">
        <v>682</v>
      </c>
      <c r="C27" s="1083" t="s">
        <v>683</v>
      </c>
      <c r="D27" s="1082" t="s">
        <v>634</v>
      </c>
      <c r="E27" s="1085" t="s">
        <v>645</v>
      </c>
      <c r="F27" s="1085" t="s">
        <v>645</v>
      </c>
      <c r="H27" s="55"/>
      <c r="I27" s="898">
        <v>8</v>
      </c>
      <c r="J27" s="153" t="s">
        <v>683</v>
      </c>
      <c r="K27" s="399" t="s">
        <v>596</v>
      </c>
      <c r="L27" s="424"/>
      <c r="M27" s="321"/>
      <c r="N27" s="424"/>
      <c r="O27" s="424"/>
      <c r="P27" s="424"/>
      <c r="Q27" s="308"/>
      <c r="R27" s="67"/>
      <c r="S27" s="308"/>
      <c r="AN27" s="11">
        <v>23</v>
      </c>
    </row>
    <row r="28" spans="1:40" ht="35.65" customHeight="1">
      <c r="A28" s="1084"/>
      <c r="B28" s="1083" t="s">
        <v>684</v>
      </c>
      <c r="C28" s="1083" t="s">
        <v>685</v>
      </c>
      <c r="D28" s="1082" t="s">
        <v>634</v>
      </c>
      <c r="E28" s="1085" t="s">
        <v>645</v>
      </c>
      <c r="F28" s="1085" t="s">
        <v>645</v>
      </c>
      <c r="H28" s="55"/>
      <c r="I28" s="900">
        <v>9</v>
      </c>
      <c r="J28" s="153" t="s">
        <v>686</v>
      </c>
      <c r="K28" s="399" t="s">
        <v>564</v>
      </c>
      <c r="L28" s="424"/>
      <c r="M28" s="321"/>
      <c r="N28" s="424"/>
      <c r="O28" s="424"/>
      <c r="P28" s="424"/>
      <c r="Q28" s="308"/>
      <c r="R28" s="67"/>
      <c r="S28" s="308"/>
      <c r="AN28" s="11">
        <v>34</v>
      </c>
    </row>
    <row r="29" spans="1:40" ht="35.65" customHeight="1">
      <c r="A29" s="1084"/>
      <c r="B29" s="1083" t="s">
        <v>687</v>
      </c>
      <c r="C29" s="1083" t="s">
        <v>688</v>
      </c>
      <c r="D29" s="1082" t="s">
        <v>634</v>
      </c>
      <c r="E29" s="1085" t="s">
        <v>645</v>
      </c>
      <c r="F29" s="1085" t="s">
        <v>645</v>
      </c>
      <c r="H29" s="55"/>
      <c r="I29" s="900">
        <v>10</v>
      </c>
      <c r="J29" s="153" t="s">
        <v>689</v>
      </c>
      <c r="K29" s="399" t="s">
        <v>564</v>
      </c>
      <c r="L29" s="424"/>
      <c r="M29" s="321"/>
      <c r="N29" s="424"/>
      <c r="O29" s="424"/>
      <c r="P29" s="424"/>
      <c r="Q29" s="308"/>
      <c r="R29" s="67"/>
      <c r="S29" s="308"/>
      <c r="AN29" s="11">
        <v>34</v>
      </c>
    </row>
    <row r="30" spans="1:40" ht="24" customHeight="1">
      <c r="A30" s="1084"/>
      <c r="B30" s="1083" t="s">
        <v>690</v>
      </c>
      <c r="C30" s="1083" t="s">
        <v>691</v>
      </c>
      <c r="D30" s="1082" t="s">
        <v>634</v>
      </c>
      <c r="E30" s="1085" t="s">
        <v>645</v>
      </c>
      <c r="F30" s="1085" t="s">
        <v>645</v>
      </c>
      <c r="H30" s="55"/>
      <c r="I30" s="900">
        <v>11</v>
      </c>
      <c r="J30" s="153" t="s">
        <v>691</v>
      </c>
      <c r="K30" s="399" t="s">
        <v>597</v>
      </c>
      <c r="L30" s="1088"/>
      <c r="M30" s="891"/>
      <c r="N30" s="1088"/>
      <c r="O30" s="1088"/>
      <c r="P30" s="1088"/>
      <c r="Q30" s="308"/>
      <c r="R30" s="67"/>
      <c r="S30" s="308"/>
      <c r="AN30" s="11">
        <v>23</v>
      </c>
    </row>
    <row r="31" spans="1:40" ht="24" customHeight="1">
      <c r="A31" s="1084"/>
      <c r="B31" s="1083" t="s">
        <v>692</v>
      </c>
      <c r="C31" s="1083" t="s">
        <v>693</v>
      </c>
      <c r="D31" s="1082" t="s">
        <v>634</v>
      </c>
      <c r="E31" s="1085" t="s">
        <v>645</v>
      </c>
      <c r="F31" s="1085" t="s">
        <v>645</v>
      </c>
      <c r="H31" s="55"/>
      <c r="I31" s="900">
        <v>12</v>
      </c>
      <c r="J31" s="153" t="s">
        <v>693</v>
      </c>
      <c r="K31" s="399" t="s">
        <v>597</v>
      </c>
      <c r="L31" s="1088"/>
      <c r="M31" s="891"/>
      <c r="N31" s="1088"/>
      <c r="O31" s="1088"/>
      <c r="P31" s="1088"/>
      <c r="Q31" s="308"/>
      <c r="R31" s="67"/>
      <c r="S31" s="308"/>
      <c r="AN31" s="11">
        <v>23</v>
      </c>
    </row>
    <row r="32" spans="1:40" ht="48.2" customHeight="1">
      <c r="A32" s="1084"/>
      <c r="B32" s="1083" t="s">
        <v>694</v>
      </c>
      <c r="C32" s="1083" t="s">
        <v>695</v>
      </c>
      <c r="D32" s="1082" t="s">
        <v>634</v>
      </c>
      <c r="E32" s="1085" t="s">
        <v>645</v>
      </c>
      <c r="F32" s="1085" t="s">
        <v>645</v>
      </c>
      <c r="H32" s="55"/>
      <c r="I32" s="900">
        <v>13</v>
      </c>
      <c r="J32" s="153" t="s">
        <v>696</v>
      </c>
      <c r="K32" s="399" t="s">
        <v>614</v>
      </c>
      <c r="L32" s="424"/>
      <c r="M32" s="321"/>
      <c r="N32" s="424"/>
      <c r="O32" s="424"/>
      <c r="P32" s="424"/>
      <c r="Q32" s="308"/>
      <c r="R32" s="67" t="s">
        <v>656</v>
      </c>
      <c r="S32" s="308"/>
      <c r="AN32" s="11">
        <v>46</v>
      </c>
    </row>
    <row r="33" spans="1:40" s="63" customFormat="1" ht="48.2" customHeight="1">
      <c r="A33" s="1084"/>
      <c r="B33" s="1083" t="s">
        <v>697</v>
      </c>
      <c r="C33" s="1083" t="s">
        <v>698</v>
      </c>
      <c r="D33" s="1082" t="s">
        <v>634</v>
      </c>
      <c r="E33" s="1085" t="s">
        <v>645</v>
      </c>
      <c r="F33" s="1085" t="s">
        <v>645</v>
      </c>
      <c r="G33" s="68"/>
      <c r="H33" s="55"/>
      <c r="I33" s="900">
        <v>14</v>
      </c>
      <c r="J33" s="878" t="s">
        <v>699</v>
      </c>
      <c r="K33" s="863" t="s">
        <v>700</v>
      </c>
      <c r="L33" s="424"/>
      <c r="M33" s="321"/>
      <c r="N33" s="424"/>
      <c r="O33" s="424"/>
      <c r="P33" s="424"/>
      <c r="Q33" s="308"/>
      <c r="R33" s="67" t="s">
        <v>656</v>
      </c>
      <c r="S33" s="308"/>
      <c r="T33" s="68"/>
      <c r="U33" s="68"/>
      <c r="Z33" s="68"/>
      <c r="AC33" s="309"/>
      <c r="AI33" s="8"/>
      <c r="AJ33" s="8"/>
      <c r="AK33" s="8"/>
      <c r="AL33" s="8"/>
      <c r="AM33" s="8"/>
      <c r="AN33" s="63">
        <v>46</v>
      </c>
    </row>
    <row r="34" spans="1:40" ht="108" customHeight="1">
      <c r="A34" s="1084"/>
      <c r="B34" s="1083" t="s">
        <v>701</v>
      </c>
      <c r="C34" s="1083" t="s">
        <v>702</v>
      </c>
      <c r="D34" s="1082" t="s">
        <v>644</v>
      </c>
      <c r="E34" s="1085" t="s">
        <v>645</v>
      </c>
      <c r="F34" s="1085" t="s">
        <v>645</v>
      </c>
      <c r="G34" s="68" t="s">
        <v>587</v>
      </c>
      <c r="H34" s="55"/>
      <c r="I34" s="43">
        <v>15</v>
      </c>
      <c r="J34" s="153" t="s">
        <v>703</v>
      </c>
      <c r="K34" s="399" t="s">
        <v>312</v>
      </c>
      <c r="L34" s="220"/>
      <c r="M34" s="117"/>
      <c r="N34" s="220"/>
      <c r="O34" s="220"/>
      <c r="P34" s="220"/>
      <c r="Q34" s="308"/>
      <c r="R34" s="67" t="s">
        <v>648</v>
      </c>
      <c r="S34" s="308"/>
      <c r="AN34" s="11">
        <v>103</v>
      </c>
    </row>
    <row r="35" spans="1:40" s="203" customFormat="1" ht="11.45" customHeight="1">
      <c r="A35" s="572"/>
      <c r="B35" s="572"/>
      <c r="C35" s="572"/>
      <c r="D35" s="572"/>
      <c r="E35" s="572"/>
      <c r="F35" s="68"/>
      <c r="G35" s="68"/>
      <c r="Q35" s="63"/>
      <c r="S35" s="63"/>
      <c r="T35" s="68"/>
      <c r="U35" s="68"/>
      <c r="V35" s="63"/>
      <c r="W35" s="63"/>
      <c r="X35" s="63"/>
      <c r="Y35" s="63"/>
      <c r="Z35" s="68"/>
      <c r="AA35" s="63"/>
      <c r="AB35" s="63"/>
      <c r="AC35" s="309"/>
      <c r="AD35" s="63"/>
      <c r="AE35" s="63"/>
      <c r="AF35" s="63"/>
      <c r="AG35" s="63"/>
      <c r="AH35" s="63"/>
      <c r="AI35" s="8"/>
      <c r="AJ35" s="142"/>
      <c r="AK35" s="142"/>
      <c r="AL35" s="142"/>
      <c r="AM35" s="142"/>
      <c r="AN35" s="203">
        <v>11</v>
      </c>
    </row>
    <row r="36" spans="1:40" s="203" customFormat="1" ht="11.45" customHeight="1">
      <c r="A36" s="572"/>
      <c r="B36" s="572"/>
      <c r="C36" s="572"/>
      <c r="D36" s="572"/>
      <c r="E36" s="572"/>
      <c r="F36" s="68"/>
      <c r="G36" s="68"/>
      <c r="Q36" s="63"/>
      <c r="S36" s="63"/>
      <c r="T36" s="68"/>
      <c r="U36" s="68"/>
      <c r="V36" s="63"/>
      <c r="W36" s="63"/>
      <c r="X36" s="63"/>
      <c r="Y36" s="63"/>
      <c r="Z36" s="68"/>
      <c r="AA36" s="63"/>
      <c r="AB36" s="63"/>
      <c r="AC36" s="309"/>
      <c r="AD36" s="63"/>
      <c r="AE36" s="63"/>
      <c r="AF36" s="63"/>
      <c r="AG36" s="63"/>
      <c r="AH36" s="63"/>
      <c r="AI36" s="8"/>
      <c r="AJ36" s="142"/>
      <c r="AK36" s="142"/>
      <c r="AL36" s="142"/>
      <c r="AM36" s="142"/>
      <c r="AN36" s="203">
        <v>11</v>
      </c>
    </row>
    <row r="37" spans="1:40" s="203" customFormat="1" ht="11.45" customHeight="1">
      <c r="A37" s="572"/>
      <c r="B37" s="572"/>
      <c r="C37" s="572"/>
      <c r="D37" s="572"/>
      <c r="E37" s="572"/>
      <c r="F37" s="68"/>
      <c r="G37" s="68"/>
      <c r="L37" s="142"/>
      <c r="M37" s="142"/>
      <c r="N37" s="142"/>
      <c r="O37" s="142"/>
      <c r="P37" s="142"/>
      <c r="Q37" s="63"/>
      <c r="S37" s="63"/>
      <c r="T37" s="68"/>
      <c r="U37" s="68"/>
      <c r="V37" s="63"/>
      <c r="W37" s="63"/>
      <c r="X37" s="63"/>
      <c r="Y37" s="63"/>
      <c r="Z37" s="68"/>
      <c r="AA37" s="63"/>
      <c r="AB37" s="63"/>
      <c r="AC37" s="309"/>
      <c r="AD37" s="63"/>
      <c r="AE37" s="63"/>
      <c r="AF37" s="63"/>
      <c r="AG37" s="63"/>
      <c r="AH37" s="63"/>
      <c r="AI37" s="8"/>
      <c r="AJ37" s="142"/>
      <c r="AK37" s="142"/>
      <c r="AL37" s="142"/>
      <c r="AM37" s="142"/>
      <c r="AN37" s="203">
        <v>11</v>
      </c>
    </row>
    <row r="38" spans="1:40" s="203" customFormat="1" ht="11.45" customHeight="1">
      <c r="A38" s="572"/>
      <c r="B38" s="572"/>
      <c r="C38" s="572"/>
      <c r="D38" s="572"/>
      <c r="E38" s="572"/>
      <c r="F38" s="68"/>
      <c r="G38" s="68"/>
      <c r="Q38" s="63"/>
      <c r="S38" s="63"/>
      <c r="T38" s="68"/>
      <c r="U38" s="68"/>
      <c r="V38" s="63"/>
      <c r="W38" s="63"/>
      <c r="X38" s="63"/>
      <c r="Y38" s="63"/>
      <c r="Z38" s="68"/>
      <c r="AA38" s="63"/>
      <c r="AB38" s="63"/>
      <c r="AC38" s="309"/>
      <c r="AD38" s="63"/>
      <c r="AE38" s="63"/>
      <c r="AF38" s="63"/>
      <c r="AG38" s="63"/>
      <c r="AH38" s="63"/>
      <c r="AI38" s="8"/>
      <c r="AJ38" s="142"/>
      <c r="AK38" s="142"/>
      <c r="AL38" s="142"/>
      <c r="AM38" s="142"/>
      <c r="AN38" s="203">
        <v>11</v>
      </c>
    </row>
    <row r="39" spans="1:40" s="203" customFormat="1" ht="11.45" customHeight="1">
      <c r="A39" s="572"/>
      <c r="B39" s="572"/>
      <c r="C39" s="572"/>
      <c r="D39" s="572"/>
      <c r="E39" s="572"/>
      <c r="F39" s="68"/>
      <c r="G39" s="68"/>
      <c r="Q39" s="63"/>
      <c r="S39" s="63"/>
      <c r="T39" s="68"/>
      <c r="U39" s="68"/>
      <c r="V39" s="63"/>
      <c r="W39" s="63"/>
      <c r="X39" s="63"/>
      <c r="Y39" s="63"/>
      <c r="Z39" s="68"/>
      <c r="AA39" s="63"/>
      <c r="AB39" s="63"/>
      <c r="AC39" s="309"/>
      <c r="AD39" s="63"/>
      <c r="AE39" s="63"/>
      <c r="AF39" s="63"/>
      <c r="AG39" s="63"/>
      <c r="AH39" s="63"/>
      <c r="AI39" s="8"/>
      <c r="AJ39" s="142"/>
      <c r="AK39" s="142"/>
      <c r="AL39" s="142"/>
      <c r="AM39" s="142"/>
      <c r="AN39" s="203">
        <v>11</v>
      </c>
    </row>
    <row r="40" spans="1:40" s="203" customFormat="1" ht="11.45" customHeight="1">
      <c r="A40" s="572"/>
      <c r="B40" s="572"/>
      <c r="C40" s="572"/>
      <c r="D40" s="572"/>
      <c r="E40" s="572"/>
      <c r="F40" s="68"/>
      <c r="G40" s="68"/>
      <c r="Q40" s="63"/>
      <c r="S40" s="63"/>
      <c r="T40" s="68"/>
      <c r="U40" s="68"/>
      <c r="V40" s="63"/>
      <c r="W40" s="63"/>
      <c r="X40" s="63"/>
      <c r="Y40" s="63"/>
      <c r="Z40" s="68"/>
      <c r="AA40" s="63"/>
      <c r="AB40" s="63"/>
      <c r="AC40" s="309"/>
      <c r="AD40" s="63"/>
      <c r="AE40" s="63"/>
      <c r="AF40" s="63"/>
      <c r="AG40" s="63"/>
      <c r="AH40" s="63"/>
      <c r="AI40" s="8"/>
      <c r="AJ40" s="142"/>
      <c r="AK40" s="142"/>
      <c r="AL40" s="142"/>
      <c r="AM40" s="142"/>
      <c r="AN40" s="203">
        <v>11</v>
      </c>
    </row>
    <row r="41" spans="1:40" s="203" customFormat="1" ht="11.45" customHeight="1">
      <c r="A41" s="572"/>
      <c r="B41" s="572"/>
      <c r="C41" s="572"/>
      <c r="D41" s="572"/>
      <c r="E41" s="572"/>
      <c r="F41" s="68"/>
      <c r="G41" s="68"/>
      <c r="Q41" s="63"/>
      <c r="S41" s="63"/>
      <c r="T41" s="68"/>
      <c r="U41" s="68"/>
      <c r="V41" s="63"/>
      <c r="W41" s="63"/>
      <c r="X41" s="63"/>
      <c r="Y41" s="63"/>
      <c r="Z41" s="68"/>
      <c r="AA41" s="63"/>
      <c r="AB41" s="63"/>
      <c r="AC41" s="309"/>
      <c r="AD41" s="63"/>
      <c r="AE41" s="63"/>
      <c r="AF41" s="63"/>
      <c r="AG41" s="63"/>
      <c r="AH41" s="63"/>
      <c r="AI41" s="8"/>
      <c r="AJ41" s="142"/>
      <c r="AK41" s="142"/>
      <c r="AL41" s="142"/>
      <c r="AM41" s="142"/>
      <c r="AN41" s="203">
        <v>11</v>
      </c>
    </row>
    <row r="42" spans="1:40" s="203" customFormat="1" ht="11.45" customHeight="1">
      <c r="A42" s="572"/>
      <c r="B42" s="572"/>
      <c r="C42" s="572"/>
      <c r="D42" s="572"/>
      <c r="E42" s="572"/>
      <c r="F42" s="68"/>
      <c r="G42" s="68"/>
      <c r="Q42" s="63"/>
      <c r="S42" s="63"/>
      <c r="T42" s="68"/>
      <c r="U42" s="68"/>
      <c r="V42" s="63"/>
      <c r="W42" s="63"/>
      <c r="X42" s="63"/>
      <c r="Y42" s="63"/>
      <c r="Z42" s="68"/>
      <c r="AA42" s="63"/>
      <c r="AB42" s="63"/>
      <c r="AC42" s="309"/>
      <c r="AD42" s="63"/>
      <c r="AE42" s="63"/>
      <c r="AF42" s="63"/>
      <c r="AG42" s="63"/>
      <c r="AH42" s="63"/>
      <c r="AI42" s="8"/>
      <c r="AJ42" s="142"/>
      <c r="AK42" s="142"/>
      <c r="AL42" s="142"/>
      <c r="AM42" s="142"/>
      <c r="AN42" s="203">
        <v>11</v>
      </c>
    </row>
    <row r="43" spans="1:40" s="203" customFormat="1" ht="11.45" customHeight="1">
      <c r="A43" s="572"/>
      <c r="B43" s="572"/>
      <c r="C43" s="572"/>
      <c r="D43" s="572"/>
      <c r="E43" s="572"/>
      <c r="F43" s="68"/>
      <c r="G43" s="68"/>
      <c r="Q43" s="63"/>
      <c r="S43" s="63"/>
      <c r="T43" s="68"/>
      <c r="U43" s="68"/>
      <c r="V43" s="63"/>
      <c r="W43" s="63"/>
      <c r="X43" s="63"/>
      <c r="Y43" s="63"/>
      <c r="Z43" s="68"/>
      <c r="AA43" s="63"/>
      <c r="AB43" s="63"/>
      <c r="AC43" s="309"/>
      <c r="AD43" s="63"/>
      <c r="AE43" s="63"/>
      <c r="AF43" s="63"/>
      <c r="AG43" s="63"/>
      <c r="AH43" s="63"/>
      <c r="AI43" s="8"/>
      <c r="AJ43" s="142"/>
      <c r="AK43" s="142"/>
      <c r="AL43" s="142"/>
      <c r="AM43" s="142"/>
      <c r="AN43" s="203">
        <v>11</v>
      </c>
    </row>
    <row r="44" spans="1:40" s="203" customFormat="1" ht="11.45" customHeight="1">
      <c r="A44" s="572"/>
      <c r="B44" s="572"/>
      <c r="C44" s="572"/>
      <c r="D44" s="572"/>
      <c r="E44" s="572"/>
      <c r="F44" s="68"/>
      <c r="G44" s="68"/>
      <c r="Q44" s="63"/>
      <c r="S44" s="63"/>
      <c r="T44" s="68"/>
      <c r="U44" s="68"/>
      <c r="V44" s="63"/>
      <c r="W44" s="63"/>
      <c r="X44" s="63"/>
      <c r="Y44" s="63"/>
      <c r="Z44" s="68"/>
      <c r="AA44" s="63"/>
      <c r="AB44" s="63"/>
      <c r="AC44" s="309"/>
      <c r="AD44" s="63"/>
      <c r="AE44" s="63"/>
      <c r="AF44" s="63"/>
      <c r="AG44" s="63"/>
      <c r="AH44" s="63"/>
      <c r="AI44" s="8"/>
      <c r="AJ44" s="142"/>
      <c r="AK44" s="142"/>
      <c r="AL44" s="142"/>
      <c r="AM44" s="142"/>
      <c r="AN44" s="203">
        <v>11</v>
      </c>
    </row>
    <row r="45" spans="1:40" s="203" customFormat="1" ht="11.45" customHeight="1">
      <c r="A45" s="572"/>
      <c r="B45" s="572"/>
      <c r="C45" s="572"/>
      <c r="D45" s="572"/>
      <c r="E45" s="572"/>
      <c r="F45" s="68"/>
      <c r="G45" s="68"/>
      <c r="Q45" s="63"/>
      <c r="S45" s="63"/>
      <c r="T45" s="68"/>
      <c r="U45" s="68"/>
      <c r="V45" s="63"/>
      <c r="W45" s="63"/>
      <c r="X45" s="63"/>
      <c r="Y45" s="63"/>
      <c r="Z45" s="68"/>
      <c r="AA45" s="63"/>
      <c r="AB45" s="63"/>
      <c r="AC45" s="309"/>
      <c r="AD45" s="63"/>
      <c r="AE45" s="63"/>
      <c r="AF45" s="63"/>
      <c r="AG45" s="63"/>
      <c r="AH45" s="63"/>
      <c r="AI45" s="8"/>
      <c r="AJ45" s="142"/>
      <c r="AK45" s="142"/>
      <c r="AL45" s="142"/>
      <c r="AM45" s="142"/>
      <c r="AN45" s="203">
        <v>11</v>
      </c>
    </row>
    <row r="46" spans="1:40" s="203" customFormat="1" ht="11.45" customHeight="1">
      <c r="A46" s="572"/>
      <c r="B46" s="572"/>
      <c r="C46" s="572"/>
      <c r="D46" s="572"/>
      <c r="E46" s="572"/>
      <c r="F46" s="68"/>
      <c r="G46" s="68"/>
      <c r="Q46" s="63"/>
      <c r="S46" s="63"/>
      <c r="T46" s="68"/>
      <c r="U46" s="68"/>
      <c r="V46" s="63"/>
      <c r="W46" s="63"/>
      <c r="X46" s="63"/>
      <c r="Y46" s="63"/>
      <c r="Z46" s="68"/>
      <c r="AA46" s="63"/>
      <c r="AB46" s="63"/>
      <c r="AC46" s="309"/>
      <c r="AD46" s="63"/>
      <c r="AE46" s="63"/>
      <c r="AF46" s="63"/>
      <c r="AG46" s="63"/>
      <c r="AH46" s="63"/>
      <c r="AI46" s="8"/>
      <c r="AJ46" s="142"/>
      <c r="AK46" s="142"/>
      <c r="AL46" s="142"/>
      <c r="AM46" s="142"/>
      <c r="AN46" s="203">
        <v>11</v>
      </c>
    </row>
    <row r="47" spans="1:40" s="203" customFormat="1" ht="11.45" customHeight="1">
      <c r="A47" s="572"/>
      <c r="B47" s="572"/>
      <c r="C47" s="572"/>
      <c r="D47" s="572"/>
      <c r="E47" s="572"/>
      <c r="F47" s="68"/>
      <c r="G47" s="68"/>
      <c r="Q47" s="63"/>
      <c r="S47" s="63"/>
      <c r="T47" s="68"/>
      <c r="U47" s="68"/>
      <c r="V47" s="63"/>
      <c r="W47" s="63"/>
      <c r="X47" s="63"/>
      <c r="Y47" s="63"/>
      <c r="Z47" s="68"/>
      <c r="AA47" s="63"/>
      <c r="AB47" s="63"/>
      <c r="AC47" s="309"/>
      <c r="AD47" s="63"/>
      <c r="AE47" s="63"/>
      <c r="AF47" s="63"/>
      <c r="AG47" s="63"/>
      <c r="AH47" s="63"/>
      <c r="AI47" s="8"/>
      <c r="AJ47" s="142"/>
      <c r="AK47" s="142"/>
      <c r="AL47" s="142"/>
      <c r="AM47" s="142"/>
      <c r="AN47" s="203">
        <v>11</v>
      </c>
    </row>
    <row r="48" spans="1:40" s="203" customFormat="1" ht="11.45" customHeight="1">
      <c r="A48" s="572"/>
      <c r="B48" s="572"/>
      <c r="C48" s="572"/>
      <c r="D48" s="572"/>
      <c r="E48" s="572"/>
      <c r="F48" s="68"/>
      <c r="G48" s="68"/>
      <c r="Q48" s="63"/>
      <c r="S48" s="63"/>
      <c r="T48" s="68"/>
      <c r="U48" s="68"/>
      <c r="V48" s="63"/>
      <c r="W48" s="63"/>
      <c r="X48" s="63"/>
      <c r="Y48" s="63"/>
      <c r="Z48" s="68"/>
      <c r="AA48" s="63"/>
      <c r="AB48" s="63"/>
      <c r="AC48" s="309"/>
      <c r="AD48" s="63"/>
      <c r="AE48" s="63"/>
      <c r="AF48" s="63"/>
      <c r="AG48" s="63"/>
      <c r="AH48" s="63"/>
      <c r="AI48" s="8"/>
      <c r="AJ48" s="142"/>
      <c r="AK48" s="142"/>
      <c r="AL48" s="142"/>
      <c r="AM48" s="142"/>
      <c r="AN48" s="203">
        <v>11</v>
      </c>
    </row>
    <row r="49" spans="1:40" s="203" customFormat="1" ht="11.45" customHeight="1">
      <c r="A49" s="572"/>
      <c r="B49" s="572"/>
      <c r="C49" s="572"/>
      <c r="D49" s="572"/>
      <c r="E49" s="572"/>
      <c r="F49" s="68"/>
      <c r="G49" s="68"/>
      <c r="Q49" s="63"/>
      <c r="S49" s="63"/>
      <c r="T49" s="68"/>
      <c r="U49" s="68"/>
      <c r="V49" s="63"/>
      <c r="W49" s="63"/>
      <c r="X49" s="63"/>
      <c r="Y49" s="63"/>
      <c r="Z49" s="68"/>
      <c r="AA49" s="63"/>
      <c r="AB49" s="63"/>
      <c r="AC49" s="309"/>
      <c r="AD49" s="63"/>
      <c r="AE49" s="63"/>
      <c r="AF49" s="63"/>
      <c r="AG49" s="63"/>
      <c r="AH49" s="63"/>
      <c r="AI49" s="8"/>
      <c r="AJ49" s="142"/>
      <c r="AK49" s="142"/>
      <c r="AL49" s="142"/>
      <c r="AM49" s="142"/>
      <c r="AN49" s="203">
        <v>11</v>
      </c>
    </row>
    <row r="50" spans="1:40" s="203" customFormat="1" ht="11.45" customHeight="1">
      <c r="A50" s="572"/>
      <c r="B50" s="572"/>
      <c r="C50" s="572"/>
      <c r="D50" s="572"/>
      <c r="E50" s="572"/>
      <c r="F50" s="68"/>
      <c r="G50" s="68"/>
      <c r="Q50" s="63"/>
      <c r="S50" s="63"/>
      <c r="T50" s="68"/>
      <c r="U50" s="68"/>
      <c r="V50" s="63"/>
      <c r="W50" s="63"/>
      <c r="X50" s="63"/>
      <c r="Y50" s="63"/>
      <c r="Z50" s="68"/>
      <c r="AA50" s="63"/>
      <c r="AB50" s="63"/>
      <c r="AC50" s="309"/>
      <c r="AD50" s="63"/>
      <c r="AE50" s="63"/>
      <c r="AF50" s="63"/>
      <c r="AG50" s="63"/>
      <c r="AH50" s="63"/>
      <c r="AI50" s="8"/>
      <c r="AJ50" s="142"/>
      <c r="AK50" s="142"/>
      <c r="AL50" s="142"/>
      <c r="AM50" s="142"/>
      <c r="AN50" s="203">
        <v>11</v>
      </c>
    </row>
    <row r="51" spans="1:40" s="203" customFormat="1" ht="11.45" customHeight="1">
      <c r="A51" s="572"/>
      <c r="B51" s="572"/>
      <c r="C51" s="572"/>
      <c r="D51" s="572"/>
      <c r="E51" s="572"/>
      <c r="F51" s="68"/>
      <c r="G51" s="68"/>
      <c r="Q51" s="63"/>
      <c r="S51" s="63"/>
      <c r="T51" s="68"/>
      <c r="U51" s="68"/>
      <c r="V51" s="63"/>
      <c r="W51" s="63"/>
      <c r="X51" s="63"/>
      <c r="Y51" s="63"/>
      <c r="Z51" s="68"/>
      <c r="AA51" s="63"/>
      <c r="AB51" s="63"/>
      <c r="AC51" s="309"/>
      <c r="AD51" s="63"/>
      <c r="AE51" s="63"/>
      <c r="AF51" s="63"/>
      <c r="AG51" s="63"/>
      <c r="AH51" s="63"/>
      <c r="AI51" s="8"/>
      <c r="AJ51" s="142"/>
      <c r="AK51" s="142"/>
      <c r="AL51" s="142"/>
      <c r="AM51" s="142"/>
      <c r="AN51" s="203">
        <v>11</v>
      </c>
    </row>
    <row r="52" spans="1:40" s="203" customFormat="1" ht="11.45" customHeight="1">
      <c r="A52" s="572"/>
      <c r="B52" s="572"/>
      <c r="C52" s="572"/>
      <c r="D52" s="572"/>
      <c r="E52" s="572"/>
      <c r="F52" s="68"/>
      <c r="G52" s="68"/>
      <c r="Q52" s="63"/>
      <c r="S52" s="63"/>
      <c r="T52" s="68"/>
      <c r="U52" s="68"/>
      <c r="V52" s="63"/>
      <c r="W52" s="63"/>
      <c r="X52" s="63"/>
      <c r="Y52" s="63"/>
      <c r="Z52" s="68"/>
      <c r="AA52" s="63"/>
      <c r="AB52" s="63"/>
      <c r="AC52" s="309"/>
      <c r="AD52" s="63"/>
      <c r="AE52" s="63"/>
      <c r="AF52" s="63"/>
      <c r="AG52" s="63"/>
      <c r="AH52" s="63"/>
      <c r="AI52" s="8"/>
      <c r="AJ52" s="142"/>
      <c r="AK52" s="142"/>
      <c r="AL52" s="142"/>
      <c r="AM52" s="142"/>
      <c r="AN52" s="203">
        <v>11</v>
      </c>
    </row>
    <row r="53" spans="1:40" s="203" customFormat="1" ht="11.45" customHeight="1">
      <c r="A53" s="572"/>
      <c r="B53" s="572"/>
      <c r="C53" s="572"/>
      <c r="D53" s="572"/>
      <c r="E53" s="572"/>
      <c r="F53" s="68"/>
      <c r="G53" s="68"/>
      <c r="Q53" s="63"/>
      <c r="S53" s="63"/>
      <c r="T53" s="68"/>
      <c r="U53" s="68"/>
      <c r="V53" s="63"/>
      <c r="W53" s="63"/>
      <c r="X53" s="63"/>
      <c r="Y53" s="63"/>
      <c r="Z53" s="68"/>
      <c r="AA53" s="63"/>
      <c r="AB53" s="63"/>
      <c r="AC53" s="309"/>
      <c r="AD53" s="63"/>
      <c r="AE53" s="63"/>
      <c r="AF53" s="63"/>
      <c r="AG53" s="63"/>
      <c r="AH53" s="63"/>
      <c r="AI53" s="8"/>
      <c r="AJ53" s="142"/>
      <c r="AK53" s="142"/>
      <c r="AL53" s="142"/>
      <c r="AM53" s="142"/>
      <c r="AN53" s="203">
        <v>11</v>
      </c>
    </row>
    <row r="54" spans="1:40" s="203" customFormat="1" ht="11.45" customHeight="1">
      <c r="A54" s="572"/>
      <c r="B54" s="572"/>
      <c r="C54" s="572"/>
      <c r="D54" s="572"/>
      <c r="E54" s="572"/>
      <c r="F54" s="68"/>
      <c r="G54" s="68"/>
      <c r="Q54" s="63"/>
      <c r="S54" s="63"/>
      <c r="T54" s="68"/>
      <c r="U54" s="68"/>
      <c r="V54" s="63"/>
      <c r="W54" s="63"/>
      <c r="X54" s="63"/>
      <c r="Y54" s="63"/>
      <c r="Z54" s="68"/>
      <c r="AA54" s="63"/>
      <c r="AB54" s="63"/>
      <c r="AC54" s="309"/>
      <c r="AD54" s="63"/>
      <c r="AE54" s="63"/>
      <c r="AF54" s="63"/>
      <c r="AG54" s="63"/>
      <c r="AH54" s="63"/>
      <c r="AI54" s="8"/>
      <c r="AJ54" s="142"/>
      <c r="AK54" s="142"/>
      <c r="AL54" s="142"/>
      <c r="AM54" s="142"/>
      <c r="AN54" s="203">
        <v>11</v>
      </c>
    </row>
    <row r="55" spans="1:40" s="203" customFormat="1" ht="11.45" customHeight="1">
      <c r="A55" s="572"/>
      <c r="B55" s="572"/>
      <c r="C55" s="572"/>
      <c r="D55" s="572"/>
      <c r="E55" s="572"/>
      <c r="F55" s="68"/>
      <c r="G55" s="68"/>
      <c r="Q55" s="63"/>
      <c r="S55" s="63"/>
      <c r="T55" s="68"/>
      <c r="U55" s="68"/>
      <c r="V55" s="63"/>
      <c r="W55" s="63"/>
      <c r="X55" s="63"/>
      <c r="Y55" s="63"/>
      <c r="Z55" s="68"/>
      <c r="AA55" s="63"/>
      <c r="AB55" s="63"/>
      <c r="AC55" s="309"/>
      <c r="AD55" s="63"/>
      <c r="AE55" s="63"/>
      <c r="AF55" s="63"/>
      <c r="AG55" s="63"/>
      <c r="AH55" s="63"/>
      <c r="AI55" s="8"/>
      <c r="AJ55" s="142"/>
      <c r="AK55" s="142"/>
      <c r="AL55" s="142"/>
      <c r="AM55" s="142"/>
      <c r="AN55" s="203">
        <v>11</v>
      </c>
    </row>
    <row r="56" spans="1:40" s="203" customFormat="1" ht="11.45" customHeight="1">
      <c r="A56" s="572"/>
      <c r="B56" s="572"/>
      <c r="C56" s="572"/>
      <c r="D56" s="572"/>
      <c r="E56" s="572"/>
      <c r="F56" s="68"/>
      <c r="G56" s="68"/>
      <c r="Q56" s="63"/>
      <c r="S56" s="63"/>
      <c r="T56" s="68"/>
      <c r="U56" s="68"/>
      <c r="V56" s="63"/>
      <c r="W56" s="63"/>
      <c r="X56" s="63"/>
      <c r="Y56" s="63"/>
      <c r="Z56" s="68"/>
      <c r="AA56" s="63"/>
      <c r="AB56" s="63"/>
      <c r="AC56" s="309"/>
      <c r="AD56" s="63"/>
      <c r="AE56" s="63"/>
      <c r="AF56" s="63"/>
      <c r="AG56" s="63"/>
      <c r="AH56" s="63"/>
      <c r="AI56" s="8"/>
      <c r="AJ56" s="142"/>
      <c r="AK56" s="142"/>
      <c r="AL56" s="142"/>
      <c r="AM56" s="142"/>
      <c r="AN56" s="203">
        <v>11</v>
      </c>
    </row>
    <row r="57" spans="1:40" s="203" customFormat="1" ht="11.45" customHeight="1">
      <c r="A57" s="572"/>
      <c r="B57" s="572"/>
      <c r="C57" s="572"/>
      <c r="D57" s="572"/>
      <c r="E57" s="572"/>
      <c r="F57" s="68"/>
      <c r="G57" s="68"/>
      <c r="Q57" s="63"/>
      <c r="S57" s="63"/>
      <c r="T57" s="68"/>
      <c r="U57" s="68"/>
      <c r="V57" s="63"/>
      <c r="W57" s="63"/>
      <c r="X57" s="63"/>
      <c r="Y57" s="63"/>
      <c r="Z57" s="68"/>
      <c r="AA57" s="63"/>
      <c r="AB57" s="63"/>
      <c r="AC57" s="309"/>
      <c r="AD57" s="63"/>
      <c r="AE57" s="63"/>
      <c r="AF57" s="63"/>
      <c r="AG57" s="63"/>
      <c r="AH57" s="63"/>
      <c r="AI57" s="8"/>
      <c r="AJ57" s="142"/>
      <c r="AK57" s="142"/>
      <c r="AL57" s="142"/>
      <c r="AM57" s="142"/>
      <c r="AN57" s="203">
        <v>11</v>
      </c>
    </row>
    <row r="58" spans="1:40" s="203" customFormat="1" ht="11.45" customHeight="1">
      <c r="A58" s="572"/>
      <c r="B58" s="572"/>
      <c r="C58" s="572"/>
      <c r="D58" s="572"/>
      <c r="E58" s="572"/>
      <c r="F58" s="68"/>
      <c r="G58" s="68"/>
      <c r="Q58" s="63"/>
      <c r="S58" s="63"/>
      <c r="T58" s="68"/>
      <c r="U58" s="68"/>
      <c r="V58" s="63"/>
      <c r="W58" s="63"/>
      <c r="X58" s="63"/>
      <c r="Y58" s="63"/>
      <c r="Z58" s="68"/>
      <c r="AA58" s="63"/>
      <c r="AB58" s="63"/>
      <c r="AC58" s="309"/>
      <c r="AD58" s="63"/>
      <c r="AE58" s="63"/>
      <c r="AF58" s="63"/>
      <c r="AG58" s="63"/>
      <c r="AH58" s="63"/>
      <c r="AI58" s="8"/>
      <c r="AJ58" s="142"/>
      <c r="AK58" s="142"/>
      <c r="AL58" s="142"/>
      <c r="AM58" s="142"/>
      <c r="AN58" s="203">
        <v>11</v>
      </c>
    </row>
    <row r="59" spans="1:40" s="203" customFormat="1" ht="11.45" customHeight="1">
      <c r="A59" s="572"/>
      <c r="B59" s="572"/>
      <c r="C59" s="572"/>
      <c r="D59" s="572"/>
      <c r="E59" s="572"/>
      <c r="F59" s="68"/>
      <c r="G59" s="68"/>
      <c r="Q59" s="63"/>
      <c r="S59" s="63"/>
      <c r="T59" s="68"/>
      <c r="U59" s="68"/>
      <c r="V59" s="63"/>
      <c r="W59" s="63"/>
      <c r="X59" s="63"/>
      <c r="Y59" s="63"/>
      <c r="Z59" s="68"/>
      <c r="AA59" s="63"/>
      <c r="AB59" s="63"/>
      <c r="AC59" s="309"/>
      <c r="AD59" s="63"/>
      <c r="AE59" s="63"/>
      <c r="AF59" s="63"/>
      <c r="AG59" s="63"/>
      <c r="AH59" s="63"/>
      <c r="AI59" s="8"/>
      <c r="AJ59" s="142"/>
      <c r="AK59" s="142"/>
      <c r="AL59" s="142"/>
      <c r="AM59" s="142"/>
      <c r="AN59" s="203">
        <v>11</v>
      </c>
    </row>
    <row r="60" spans="1:40" s="203" customFormat="1" ht="11.45" customHeight="1">
      <c r="A60" s="572"/>
      <c r="B60" s="572"/>
      <c r="C60" s="572"/>
      <c r="D60" s="572"/>
      <c r="E60" s="572"/>
      <c r="F60" s="68"/>
      <c r="G60" s="68"/>
      <c r="Q60" s="63"/>
      <c r="S60" s="63"/>
      <c r="T60" s="68"/>
      <c r="U60" s="68"/>
      <c r="V60" s="63"/>
      <c r="W60" s="63"/>
      <c r="X60" s="63"/>
      <c r="Y60" s="63"/>
      <c r="Z60" s="68"/>
      <c r="AA60" s="63"/>
      <c r="AB60" s="63"/>
      <c r="AC60" s="309"/>
      <c r="AD60" s="63"/>
      <c r="AE60" s="63"/>
      <c r="AF60" s="63"/>
      <c r="AG60" s="63"/>
      <c r="AH60" s="63"/>
      <c r="AI60" s="8"/>
      <c r="AJ60" s="142"/>
      <c r="AK60" s="142"/>
      <c r="AL60" s="142"/>
      <c r="AM60" s="142"/>
      <c r="AN60" s="203">
        <v>11</v>
      </c>
    </row>
    <row r="61" spans="1:40" s="203" customFormat="1" ht="11.45" customHeight="1">
      <c r="A61" s="572"/>
      <c r="B61" s="572"/>
      <c r="C61" s="572"/>
      <c r="D61" s="572"/>
      <c r="E61" s="572"/>
      <c r="F61" s="68"/>
      <c r="G61" s="68"/>
      <c r="Q61" s="63"/>
      <c r="S61" s="63"/>
      <c r="T61" s="68"/>
      <c r="U61" s="68"/>
      <c r="V61" s="63"/>
      <c r="W61" s="63"/>
      <c r="X61" s="63"/>
      <c r="Y61" s="63"/>
      <c r="Z61" s="68"/>
      <c r="AA61" s="63"/>
      <c r="AB61" s="63"/>
      <c r="AC61" s="309"/>
      <c r="AD61" s="63"/>
      <c r="AE61" s="63"/>
      <c r="AF61" s="63"/>
      <c r="AG61" s="63"/>
      <c r="AH61" s="63"/>
      <c r="AI61" s="8"/>
      <c r="AJ61" s="142"/>
      <c r="AK61" s="142"/>
      <c r="AL61" s="142"/>
      <c r="AM61" s="142"/>
      <c r="AN61" s="203">
        <v>11</v>
      </c>
    </row>
    <row r="62" spans="1:40" s="203" customFormat="1" ht="11.45" customHeight="1">
      <c r="A62" s="572"/>
      <c r="B62" s="572"/>
      <c r="C62" s="572"/>
      <c r="D62" s="572"/>
      <c r="E62" s="572"/>
      <c r="F62" s="68"/>
      <c r="G62" s="68"/>
      <c r="Q62" s="63"/>
      <c r="S62" s="63"/>
      <c r="T62" s="68"/>
      <c r="U62" s="68"/>
      <c r="V62" s="63"/>
      <c r="W62" s="63"/>
      <c r="X62" s="63"/>
      <c r="Y62" s="63"/>
      <c r="Z62" s="68"/>
      <c r="AA62" s="63"/>
      <c r="AB62" s="63"/>
      <c r="AC62" s="309"/>
      <c r="AD62" s="63"/>
      <c r="AE62" s="63"/>
      <c r="AF62" s="63"/>
      <c r="AG62" s="63"/>
      <c r="AH62" s="63"/>
      <c r="AI62" s="8"/>
      <c r="AJ62" s="142"/>
      <c r="AK62" s="142"/>
      <c r="AL62" s="142"/>
      <c r="AM62" s="142"/>
      <c r="AN62" s="203">
        <v>11</v>
      </c>
    </row>
    <row r="63" spans="1:40" s="203" customFormat="1" ht="11.45" customHeight="1">
      <c r="A63" s="572"/>
      <c r="B63" s="572"/>
      <c r="C63" s="572"/>
      <c r="D63" s="572"/>
      <c r="E63" s="572"/>
      <c r="F63" s="68"/>
      <c r="G63" s="68"/>
      <c r="Q63" s="63"/>
      <c r="S63" s="63"/>
      <c r="T63" s="68"/>
      <c r="U63" s="68"/>
      <c r="V63" s="63"/>
      <c r="W63" s="63"/>
      <c r="X63" s="63"/>
      <c r="Y63" s="63"/>
      <c r="Z63" s="68"/>
      <c r="AA63" s="63"/>
      <c r="AB63" s="63"/>
      <c r="AC63" s="309"/>
      <c r="AD63" s="63"/>
      <c r="AE63" s="63"/>
      <c r="AF63" s="63"/>
      <c r="AG63" s="63"/>
      <c r="AH63" s="63"/>
      <c r="AI63" s="8"/>
      <c r="AJ63" s="142"/>
      <c r="AK63" s="142"/>
      <c r="AL63" s="142"/>
      <c r="AM63" s="142"/>
      <c r="AN63" s="203">
        <v>11</v>
      </c>
    </row>
    <row r="64" spans="1:40" s="203" customFormat="1" ht="11.45" customHeight="1">
      <c r="A64" s="572"/>
      <c r="B64" s="572"/>
      <c r="C64" s="572"/>
      <c r="D64" s="572"/>
      <c r="E64" s="572"/>
      <c r="F64" s="68"/>
      <c r="G64" s="68"/>
      <c r="Q64" s="63"/>
      <c r="S64" s="63"/>
      <c r="T64" s="68"/>
      <c r="U64" s="68"/>
      <c r="V64" s="63"/>
      <c r="W64" s="63"/>
      <c r="X64" s="63"/>
      <c r="Y64" s="63"/>
      <c r="Z64" s="68"/>
      <c r="AA64" s="63"/>
      <c r="AB64" s="63"/>
      <c r="AC64" s="309"/>
      <c r="AD64" s="63"/>
      <c r="AE64" s="63"/>
      <c r="AF64" s="63"/>
      <c r="AG64" s="63"/>
      <c r="AH64" s="63"/>
      <c r="AI64" s="8"/>
      <c r="AJ64" s="142"/>
      <c r="AK64" s="142"/>
      <c r="AL64" s="142"/>
      <c r="AM64" s="142"/>
      <c r="AN64" s="203">
        <v>11</v>
      </c>
    </row>
    <row r="65" spans="1:40" s="203" customFormat="1" ht="11.45" customHeight="1">
      <c r="A65" s="572"/>
      <c r="B65" s="572"/>
      <c r="C65" s="572"/>
      <c r="D65" s="572"/>
      <c r="E65" s="572"/>
      <c r="F65" s="68"/>
      <c r="G65" s="68"/>
      <c r="Q65" s="63"/>
      <c r="S65" s="63"/>
      <c r="T65" s="68"/>
      <c r="U65" s="68"/>
      <c r="V65" s="63"/>
      <c r="W65" s="63"/>
      <c r="X65" s="63"/>
      <c r="Y65" s="63"/>
      <c r="Z65" s="68"/>
      <c r="AA65" s="63"/>
      <c r="AB65" s="63"/>
      <c r="AC65" s="309"/>
      <c r="AD65" s="63"/>
      <c r="AE65" s="63"/>
      <c r="AF65" s="63"/>
      <c r="AG65" s="63"/>
      <c r="AH65" s="63"/>
      <c r="AI65" s="8"/>
      <c r="AJ65" s="142"/>
      <c r="AK65" s="142"/>
      <c r="AL65" s="142"/>
      <c r="AM65" s="142"/>
      <c r="AN65" s="203">
        <v>11</v>
      </c>
    </row>
    <row r="66" spans="1:40" s="203" customFormat="1" ht="11.45" customHeight="1">
      <c r="A66" s="572"/>
      <c r="B66" s="572"/>
      <c r="C66" s="572"/>
      <c r="D66" s="572"/>
      <c r="E66" s="572"/>
      <c r="F66" s="68"/>
      <c r="G66" s="68"/>
      <c r="Q66" s="63"/>
      <c r="S66" s="63"/>
      <c r="T66" s="68"/>
      <c r="U66" s="68"/>
      <c r="V66" s="63"/>
      <c r="W66" s="63"/>
      <c r="X66" s="63"/>
      <c r="Y66" s="63"/>
      <c r="Z66" s="68"/>
      <c r="AA66" s="63"/>
      <c r="AB66" s="63"/>
      <c r="AC66" s="309"/>
      <c r="AD66" s="63"/>
      <c r="AE66" s="63"/>
      <c r="AF66" s="63"/>
      <c r="AG66" s="63"/>
      <c r="AH66" s="63"/>
      <c r="AI66" s="8"/>
      <c r="AJ66" s="142"/>
      <c r="AK66" s="142"/>
      <c r="AL66" s="142"/>
      <c r="AM66" s="142"/>
      <c r="AN66" s="203">
        <v>11</v>
      </c>
    </row>
    <row r="67" spans="1:40" s="203" customFormat="1" ht="11.45" customHeight="1">
      <c r="A67" s="572"/>
      <c r="B67" s="572"/>
      <c r="C67" s="572"/>
      <c r="D67" s="572"/>
      <c r="E67" s="572"/>
      <c r="F67" s="68"/>
      <c r="G67" s="68"/>
      <c r="Q67" s="63"/>
      <c r="S67" s="63"/>
      <c r="T67" s="68"/>
      <c r="U67" s="68"/>
      <c r="V67" s="63"/>
      <c r="W67" s="63"/>
      <c r="X67" s="63"/>
      <c r="Y67" s="63"/>
      <c r="Z67" s="68"/>
      <c r="AA67" s="63"/>
      <c r="AB67" s="63"/>
      <c r="AC67" s="309"/>
      <c r="AD67" s="63"/>
      <c r="AE67" s="63"/>
      <c r="AF67" s="63"/>
      <c r="AG67" s="63"/>
      <c r="AH67" s="63"/>
      <c r="AI67" s="8"/>
      <c r="AJ67" s="142"/>
      <c r="AK67" s="142"/>
      <c r="AL67" s="142"/>
      <c r="AM67" s="142"/>
      <c r="AN67" s="203">
        <v>11</v>
      </c>
    </row>
    <row r="68" spans="1:40" s="203" customFormat="1" ht="11.45" customHeight="1">
      <c r="A68" s="572"/>
      <c r="B68" s="572"/>
      <c r="C68" s="572"/>
      <c r="D68" s="572"/>
      <c r="E68" s="572"/>
      <c r="F68" s="68"/>
      <c r="G68" s="68"/>
      <c r="Q68" s="63"/>
      <c r="S68" s="63"/>
      <c r="T68" s="68"/>
      <c r="U68" s="68"/>
      <c r="V68" s="63"/>
      <c r="W68" s="63"/>
      <c r="X68" s="63"/>
      <c r="Y68" s="63"/>
      <c r="Z68" s="68"/>
      <c r="AA68" s="63"/>
      <c r="AB68" s="63"/>
      <c r="AC68" s="309"/>
      <c r="AD68" s="63"/>
      <c r="AE68" s="63"/>
      <c r="AF68" s="63"/>
      <c r="AG68" s="63"/>
      <c r="AH68" s="63"/>
      <c r="AI68" s="8"/>
      <c r="AJ68" s="142"/>
      <c r="AK68" s="142"/>
      <c r="AL68" s="142"/>
      <c r="AM68" s="142"/>
      <c r="AN68" s="203">
        <v>11</v>
      </c>
    </row>
    <row r="69" spans="1:40" s="203" customFormat="1" ht="11.45" customHeight="1">
      <c r="A69" s="572"/>
      <c r="B69" s="572"/>
      <c r="C69" s="572"/>
      <c r="D69" s="572"/>
      <c r="E69" s="572"/>
      <c r="F69" s="68"/>
      <c r="G69" s="68"/>
      <c r="Q69" s="63"/>
      <c r="S69" s="63"/>
      <c r="T69" s="68"/>
      <c r="U69" s="68"/>
      <c r="V69" s="63"/>
      <c r="W69" s="63"/>
      <c r="X69" s="63"/>
      <c r="Y69" s="63"/>
      <c r="Z69" s="68"/>
      <c r="AA69" s="63"/>
      <c r="AB69" s="63"/>
      <c r="AC69" s="309"/>
      <c r="AD69" s="63"/>
      <c r="AE69" s="63"/>
      <c r="AF69" s="63"/>
      <c r="AG69" s="63"/>
      <c r="AH69" s="63"/>
      <c r="AI69" s="8"/>
      <c r="AJ69" s="142"/>
      <c r="AK69" s="142"/>
      <c r="AL69" s="142"/>
      <c r="AM69" s="142"/>
      <c r="AN69" s="203">
        <v>11</v>
      </c>
    </row>
    <row r="70" spans="1:40" s="203" customFormat="1" ht="11.45" customHeight="1">
      <c r="A70" s="572"/>
      <c r="B70" s="572"/>
      <c r="C70" s="572"/>
      <c r="D70" s="572"/>
      <c r="E70" s="572"/>
      <c r="F70" s="68"/>
      <c r="G70" s="68"/>
      <c r="Q70" s="63"/>
      <c r="S70" s="63"/>
      <c r="T70" s="68"/>
      <c r="U70" s="68"/>
      <c r="V70" s="63"/>
      <c r="W70" s="63"/>
      <c r="X70" s="63"/>
      <c r="Y70" s="63"/>
      <c r="Z70" s="68"/>
      <c r="AA70" s="63"/>
      <c r="AB70" s="63"/>
      <c r="AC70" s="309"/>
      <c r="AD70" s="63"/>
      <c r="AE70" s="63"/>
      <c r="AF70" s="63"/>
      <c r="AG70" s="63"/>
      <c r="AH70" s="63"/>
      <c r="AI70" s="8"/>
      <c r="AJ70" s="142"/>
      <c r="AK70" s="142"/>
      <c r="AL70" s="142"/>
      <c r="AM70" s="142"/>
      <c r="AN70" s="203">
        <v>11</v>
      </c>
    </row>
    <row r="71" spans="1:40" s="203" customFormat="1" ht="11.45" customHeight="1">
      <c r="A71" s="572"/>
      <c r="B71" s="572"/>
      <c r="C71" s="572"/>
      <c r="D71" s="572"/>
      <c r="E71" s="572"/>
      <c r="F71" s="68"/>
      <c r="G71" s="68"/>
      <c r="Q71" s="63"/>
      <c r="S71" s="63"/>
      <c r="T71" s="68"/>
      <c r="U71" s="68"/>
      <c r="V71" s="63"/>
      <c r="W71" s="63"/>
      <c r="X71" s="63"/>
      <c r="Y71" s="63"/>
      <c r="Z71" s="68"/>
      <c r="AA71" s="63"/>
      <c r="AB71" s="63"/>
      <c r="AC71" s="309"/>
      <c r="AD71" s="63"/>
      <c r="AE71" s="63"/>
      <c r="AF71" s="63"/>
      <c r="AG71" s="63"/>
      <c r="AH71" s="63"/>
      <c r="AI71" s="8"/>
      <c r="AJ71" s="142"/>
      <c r="AK71" s="142"/>
      <c r="AL71" s="142"/>
      <c r="AM71" s="142"/>
      <c r="AN71" s="203">
        <v>11</v>
      </c>
    </row>
    <row r="72" spans="1:40" s="203" customFormat="1" ht="11.45" customHeight="1">
      <c r="A72" s="572"/>
      <c r="B72" s="572"/>
      <c r="C72" s="572"/>
      <c r="D72" s="572"/>
      <c r="E72" s="572"/>
      <c r="F72" s="68"/>
      <c r="G72" s="68"/>
      <c r="Q72" s="63"/>
      <c r="S72" s="63"/>
      <c r="T72" s="68"/>
      <c r="U72" s="68"/>
      <c r="V72" s="63"/>
      <c r="W72" s="63"/>
      <c r="X72" s="63"/>
      <c r="Y72" s="63"/>
      <c r="Z72" s="68"/>
      <c r="AA72" s="63"/>
      <c r="AB72" s="63"/>
      <c r="AC72" s="309"/>
      <c r="AD72" s="63"/>
      <c r="AE72" s="63"/>
      <c r="AF72" s="63"/>
      <c r="AG72" s="63"/>
      <c r="AH72" s="63"/>
      <c r="AI72" s="8"/>
      <c r="AJ72" s="142"/>
      <c r="AK72" s="142"/>
      <c r="AL72" s="142"/>
      <c r="AM72" s="142"/>
      <c r="AN72" s="203">
        <v>11</v>
      </c>
    </row>
    <row r="73" spans="1:40" s="203" customFormat="1" ht="11.45" customHeight="1">
      <c r="A73" s="572"/>
      <c r="B73" s="572"/>
      <c r="C73" s="572"/>
      <c r="D73" s="572"/>
      <c r="E73" s="572"/>
      <c r="F73" s="68"/>
      <c r="G73" s="68"/>
      <c r="Q73" s="63"/>
      <c r="S73" s="63"/>
      <c r="T73" s="68"/>
      <c r="U73" s="68"/>
      <c r="V73" s="63"/>
      <c r="W73" s="63"/>
      <c r="X73" s="63"/>
      <c r="Y73" s="63"/>
      <c r="Z73" s="68"/>
      <c r="AA73" s="63"/>
      <c r="AB73" s="63"/>
      <c r="AC73" s="309"/>
      <c r="AD73" s="63"/>
      <c r="AE73" s="63"/>
      <c r="AF73" s="63"/>
      <c r="AG73" s="63"/>
      <c r="AH73" s="63"/>
      <c r="AI73" s="8"/>
      <c r="AJ73" s="142"/>
      <c r="AK73" s="142"/>
      <c r="AL73" s="142"/>
      <c r="AM73" s="142"/>
      <c r="AN73" s="203">
        <v>11</v>
      </c>
    </row>
    <row r="74" spans="1:40" s="203" customFormat="1" ht="11.45" customHeight="1">
      <c r="A74" s="572"/>
      <c r="B74" s="572"/>
      <c r="C74" s="572"/>
      <c r="D74" s="572"/>
      <c r="E74" s="572"/>
      <c r="F74" s="68"/>
      <c r="G74" s="68"/>
      <c r="Q74" s="63"/>
      <c r="S74" s="63"/>
      <c r="T74" s="68"/>
      <c r="U74" s="68"/>
      <c r="V74" s="63"/>
      <c r="W74" s="63"/>
      <c r="X74" s="63"/>
      <c r="Y74" s="63"/>
      <c r="Z74" s="68"/>
      <c r="AA74" s="63"/>
      <c r="AB74" s="63"/>
      <c r="AC74" s="309"/>
      <c r="AD74" s="63"/>
      <c r="AE74" s="63"/>
      <c r="AF74" s="63"/>
      <c r="AG74" s="63"/>
      <c r="AH74" s="63"/>
      <c r="AI74" s="8"/>
      <c r="AJ74" s="142"/>
      <c r="AK74" s="142"/>
      <c r="AL74" s="142"/>
      <c r="AM74" s="142"/>
      <c r="AN74" s="203">
        <v>11</v>
      </c>
    </row>
    <row r="75" spans="1:40" s="203" customFormat="1" ht="11.45" customHeight="1">
      <c r="A75" s="572"/>
      <c r="B75" s="572"/>
      <c r="C75" s="572"/>
      <c r="D75" s="572"/>
      <c r="E75" s="572"/>
      <c r="F75" s="68"/>
      <c r="G75" s="68"/>
      <c r="Q75" s="63"/>
      <c r="S75" s="63"/>
      <c r="T75" s="68"/>
      <c r="U75" s="68"/>
      <c r="V75" s="63"/>
      <c r="W75" s="63"/>
      <c r="X75" s="63"/>
      <c r="Y75" s="63"/>
      <c r="Z75" s="68"/>
      <c r="AA75" s="63"/>
      <c r="AB75" s="63"/>
      <c r="AC75" s="309"/>
      <c r="AD75" s="63"/>
      <c r="AE75" s="63"/>
      <c r="AF75" s="63"/>
      <c r="AG75" s="63"/>
      <c r="AH75" s="63"/>
      <c r="AI75" s="8"/>
      <c r="AJ75" s="142"/>
      <c r="AK75" s="142"/>
      <c r="AL75" s="142"/>
      <c r="AM75" s="142"/>
      <c r="AN75" s="203">
        <v>11</v>
      </c>
    </row>
    <row r="76" spans="1:40" s="203" customFormat="1" ht="11.45" customHeight="1">
      <c r="A76" s="572"/>
      <c r="B76" s="572"/>
      <c r="C76" s="572"/>
      <c r="D76" s="572"/>
      <c r="E76" s="572"/>
      <c r="F76" s="68"/>
      <c r="G76" s="68"/>
      <c r="Q76" s="63"/>
      <c r="S76" s="63"/>
      <c r="T76" s="68"/>
      <c r="U76" s="68"/>
      <c r="V76" s="63"/>
      <c r="W76" s="63"/>
      <c r="X76" s="63"/>
      <c r="Y76" s="63"/>
      <c r="Z76" s="68"/>
      <c r="AA76" s="63"/>
      <c r="AB76" s="63"/>
      <c r="AC76" s="309"/>
      <c r="AD76" s="63"/>
      <c r="AE76" s="63"/>
      <c r="AF76" s="63"/>
      <c r="AG76" s="63"/>
      <c r="AH76" s="63"/>
      <c r="AI76" s="8"/>
      <c r="AJ76" s="142"/>
      <c r="AK76" s="142"/>
      <c r="AL76" s="142"/>
      <c r="AM76" s="142"/>
      <c r="AN76" s="203">
        <v>11</v>
      </c>
    </row>
    <row r="77" spans="1:40" s="203" customFormat="1" ht="11.45" customHeight="1">
      <c r="A77" s="572"/>
      <c r="B77" s="572"/>
      <c r="C77" s="572"/>
      <c r="D77" s="572"/>
      <c r="E77" s="572"/>
      <c r="F77" s="68"/>
      <c r="G77" s="68"/>
      <c r="Q77" s="63"/>
      <c r="S77" s="63"/>
      <c r="T77" s="68"/>
      <c r="U77" s="68"/>
      <c r="V77" s="63"/>
      <c r="W77" s="63"/>
      <c r="X77" s="63"/>
      <c r="Y77" s="63"/>
      <c r="Z77" s="68"/>
      <c r="AA77" s="63"/>
      <c r="AB77" s="63"/>
      <c r="AC77" s="309"/>
      <c r="AD77" s="63"/>
      <c r="AE77" s="63"/>
      <c r="AF77" s="63"/>
      <c r="AG77" s="63"/>
      <c r="AH77" s="63"/>
      <c r="AI77" s="8"/>
      <c r="AJ77" s="142"/>
      <c r="AK77" s="142"/>
      <c r="AL77" s="142"/>
      <c r="AM77" s="142"/>
      <c r="AN77" s="203">
        <v>11</v>
      </c>
    </row>
    <row r="78" spans="1:40" s="203" customFormat="1" ht="11.45" customHeight="1">
      <c r="A78" s="572"/>
      <c r="B78" s="572"/>
      <c r="C78" s="572"/>
      <c r="D78" s="572"/>
      <c r="E78" s="572"/>
      <c r="F78" s="68"/>
      <c r="G78" s="68"/>
      <c r="Q78" s="63"/>
      <c r="S78" s="63"/>
      <c r="T78" s="68"/>
      <c r="U78" s="68"/>
      <c r="V78" s="63"/>
      <c r="W78" s="63"/>
      <c r="X78" s="63"/>
      <c r="Y78" s="63"/>
      <c r="Z78" s="68"/>
      <c r="AA78" s="63"/>
      <c r="AB78" s="63"/>
      <c r="AC78" s="309"/>
      <c r="AD78" s="63"/>
      <c r="AE78" s="63"/>
      <c r="AF78" s="63"/>
      <c r="AG78" s="63"/>
      <c r="AH78" s="63"/>
      <c r="AI78" s="8"/>
      <c r="AJ78" s="142"/>
      <c r="AK78" s="142"/>
      <c r="AL78" s="142"/>
      <c r="AM78" s="142"/>
      <c r="AN78" s="203">
        <v>11</v>
      </c>
    </row>
    <row r="79" spans="1:40" s="203" customFormat="1" ht="11.45" customHeight="1">
      <c r="A79" s="572"/>
      <c r="B79" s="572"/>
      <c r="C79" s="572"/>
      <c r="D79" s="572"/>
      <c r="E79" s="572"/>
      <c r="F79" s="68"/>
      <c r="G79" s="68"/>
      <c r="Q79" s="63"/>
      <c r="S79" s="63"/>
      <c r="T79" s="68"/>
      <c r="U79" s="68"/>
      <c r="V79" s="63"/>
      <c r="W79" s="63"/>
      <c r="X79" s="63"/>
      <c r="Y79" s="63"/>
      <c r="Z79" s="68"/>
      <c r="AA79" s="63"/>
      <c r="AB79" s="63"/>
      <c r="AC79" s="309"/>
      <c r="AD79" s="63"/>
      <c r="AE79" s="63"/>
      <c r="AF79" s="63"/>
      <c r="AG79" s="63"/>
      <c r="AH79" s="63"/>
      <c r="AI79" s="8"/>
      <c r="AJ79" s="142"/>
      <c r="AK79" s="142"/>
      <c r="AL79" s="142"/>
      <c r="AM79" s="142"/>
      <c r="AN79" s="203">
        <v>11</v>
      </c>
    </row>
    <row r="80" spans="1:40" s="203" customFormat="1" ht="11.45" customHeight="1">
      <c r="A80" s="572"/>
      <c r="B80" s="572"/>
      <c r="C80" s="572"/>
      <c r="D80" s="572"/>
      <c r="E80" s="572"/>
      <c r="F80" s="68"/>
      <c r="G80" s="68"/>
      <c r="Q80" s="63"/>
      <c r="S80" s="63"/>
      <c r="T80" s="68"/>
      <c r="U80" s="68"/>
      <c r="V80" s="63"/>
      <c r="W80" s="63"/>
      <c r="X80" s="63"/>
      <c r="Y80" s="63"/>
      <c r="Z80" s="68"/>
      <c r="AA80" s="63"/>
      <c r="AB80" s="63"/>
      <c r="AC80" s="309"/>
      <c r="AD80" s="63"/>
      <c r="AE80" s="63"/>
      <c r="AF80" s="63"/>
      <c r="AG80" s="63"/>
      <c r="AH80" s="63"/>
      <c r="AI80" s="8"/>
      <c r="AJ80" s="142"/>
      <c r="AK80" s="142"/>
      <c r="AL80" s="142"/>
      <c r="AM80" s="142"/>
      <c r="AN80" s="203">
        <v>11</v>
      </c>
    </row>
    <row r="81" spans="1:40" s="203" customFormat="1" ht="11.45" customHeight="1">
      <c r="A81" s="572"/>
      <c r="B81" s="572"/>
      <c r="C81" s="572"/>
      <c r="D81" s="572"/>
      <c r="E81" s="572"/>
      <c r="F81" s="68"/>
      <c r="G81" s="68"/>
      <c r="Q81" s="63"/>
      <c r="S81" s="63"/>
      <c r="T81" s="68"/>
      <c r="U81" s="68"/>
      <c r="V81" s="63"/>
      <c r="W81" s="63"/>
      <c r="X81" s="63"/>
      <c r="Y81" s="63"/>
      <c r="Z81" s="68"/>
      <c r="AA81" s="63"/>
      <c r="AB81" s="63"/>
      <c r="AC81" s="309"/>
      <c r="AD81" s="63"/>
      <c r="AE81" s="63"/>
      <c r="AF81" s="63"/>
      <c r="AG81" s="63"/>
      <c r="AH81" s="63"/>
      <c r="AI81" s="8"/>
      <c r="AJ81" s="142"/>
      <c r="AK81" s="142"/>
      <c r="AL81" s="142"/>
      <c r="AM81" s="142"/>
      <c r="AN81" s="203">
        <v>11</v>
      </c>
    </row>
    <row r="82" spans="1:40" s="203" customFormat="1" ht="11.45" customHeight="1">
      <c r="A82" s="572"/>
      <c r="B82" s="572"/>
      <c r="C82" s="572"/>
      <c r="D82" s="572"/>
      <c r="E82" s="572"/>
      <c r="F82" s="68"/>
      <c r="G82" s="68"/>
      <c r="Q82" s="63"/>
      <c r="S82" s="63"/>
      <c r="T82" s="68"/>
      <c r="U82" s="68"/>
      <c r="V82" s="63"/>
      <c r="W82" s="63"/>
      <c r="X82" s="63"/>
      <c r="Y82" s="63"/>
      <c r="Z82" s="68"/>
      <c r="AA82" s="63"/>
      <c r="AB82" s="63"/>
      <c r="AC82" s="309"/>
      <c r="AD82" s="63"/>
      <c r="AE82" s="63"/>
      <c r="AF82" s="63"/>
      <c r="AG82" s="63"/>
      <c r="AH82" s="63"/>
      <c r="AI82" s="8"/>
      <c r="AJ82" s="142"/>
      <c r="AK82" s="142"/>
      <c r="AL82" s="142"/>
      <c r="AM82" s="142"/>
      <c r="AN82" s="203">
        <v>11</v>
      </c>
    </row>
    <row r="83" spans="1:40" s="203" customFormat="1" ht="11.45" customHeight="1">
      <c r="A83" s="572"/>
      <c r="B83" s="572"/>
      <c r="C83" s="572"/>
      <c r="D83" s="572"/>
      <c r="E83" s="572"/>
      <c r="F83" s="68"/>
      <c r="G83" s="68"/>
      <c r="Q83" s="63"/>
      <c r="S83" s="63"/>
      <c r="T83" s="68"/>
      <c r="U83" s="68"/>
      <c r="V83" s="63"/>
      <c r="W83" s="63"/>
      <c r="X83" s="63"/>
      <c r="Y83" s="63"/>
      <c r="Z83" s="68"/>
      <c r="AA83" s="63"/>
      <c r="AB83" s="63"/>
      <c r="AC83" s="309"/>
      <c r="AD83" s="63"/>
      <c r="AE83" s="63"/>
      <c r="AF83" s="63"/>
      <c r="AG83" s="63"/>
      <c r="AH83" s="63"/>
      <c r="AI83" s="8"/>
      <c r="AJ83" s="142"/>
      <c r="AK83" s="142"/>
      <c r="AL83" s="142"/>
      <c r="AM83" s="142"/>
      <c r="AN83" s="203">
        <v>11</v>
      </c>
    </row>
    <row r="84" spans="1:40" s="203" customFormat="1" ht="11.45" customHeight="1">
      <c r="A84" s="572"/>
      <c r="B84" s="572"/>
      <c r="C84" s="572"/>
      <c r="D84" s="572"/>
      <c r="E84" s="572"/>
      <c r="F84" s="68"/>
      <c r="G84" s="68"/>
      <c r="Q84" s="63"/>
      <c r="S84" s="63"/>
      <c r="T84" s="68"/>
      <c r="U84" s="68"/>
      <c r="V84" s="63"/>
      <c r="W84" s="63"/>
      <c r="X84" s="63"/>
      <c r="Y84" s="63"/>
      <c r="Z84" s="68"/>
      <c r="AA84" s="63"/>
      <c r="AB84" s="63"/>
      <c r="AC84" s="309"/>
      <c r="AD84" s="63"/>
      <c r="AE84" s="63"/>
      <c r="AF84" s="63"/>
      <c r="AG84" s="63"/>
      <c r="AH84" s="63"/>
      <c r="AI84" s="8"/>
      <c r="AJ84" s="142"/>
      <c r="AK84" s="142"/>
      <c r="AL84" s="142"/>
      <c r="AM84" s="142"/>
      <c r="AN84" s="203">
        <v>11</v>
      </c>
    </row>
    <row r="85" spans="1:40" s="203" customFormat="1" ht="11.45" customHeight="1">
      <c r="A85" s="572"/>
      <c r="B85" s="572"/>
      <c r="C85" s="572"/>
      <c r="D85" s="572"/>
      <c r="E85" s="572"/>
      <c r="F85" s="68"/>
      <c r="G85" s="68"/>
      <c r="Q85" s="63"/>
      <c r="S85" s="63"/>
      <c r="T85" s="68"/>
      <c r="U85" s="68"/>
      <c r="V85" s="63"/>
      <c r="W85" s="63"/>
      <c r="X85" s="63"/>
      <c r="Y85" s="63"/>
      <c r="Z85" s="68"/>
      <c r="AA85" s="63"/>
      <c r="AB85" s="63"/>
      <c r="AC85" s="309"/>
      <c r="AD85" s="63"/>
      <c r="AE85" s="63"/>
      <c r="AF85" s="63"/>
      <c r="AG85" s="63"/>
      <c r="AH85" s="63"/>
      <c r="AI85" s="8"/>
      <c r="AJ85" s="142"/>
      <c r="AK85" s="142"/>
      <c r="AL85" s="142"/>
      <c r="AM85" s="142"/>
      <c r="AN85" s="203">
        <v>11</v>
      </c>
    </row>
    <row r="86" spans="1:40" s="203" customFormat="1" ht="11.45" customHeight="1">
      <c r="A86" s="572"/>
      <c r="B86" s="572"/>
      <c r="C86" s="572"/>
      <c r="D86" s="572"/>
      <c r="E86" s="572"/>
      <c r="F86" s="68"/>
      <c r="G86" s="68"/>
      <c r="Q86" s="63"/>
      <c r="S86" s="63"/>
      <c r="T86" s="68"/>
      <c r="U86" s="68"/>
      <c r="V86" s="63"/>
      <c r="W86" s="63"/>
      <c r="X86" s="63"/>
      <c r="Y86" s="63"/>
      <c r="Z86" s="68"/>
      <c r="AA86" s="63"/>
      <c r="AB86" s="63"/>
      <c r="AC86" s="309"/>
      <c r="AD86" s="63"/>
      <c r="AE86" s="63"/>
      <c r="AF86" s="63"/>
      <c r="AG86" s="63"/>
      <c r="AH86" s="63"/>
      <c r="AI86" s="8"/>
      <c r="AJ86" s="142"/>
      <c r="AK86" s="142"/>
      <c r="AL86" s="142"/>
      <c r="AM86" s="142"/>
      <c r="AN86" s="203">
        <v>11</v>
      </c>
    </row>
    <row r="87" spans="1:40" s="203" customFormat="1" ht="11.45" customHeight="1">
      <c r="A87" s="572"/>
      <c r="B87" s="572"/>
      <c r="C87" s="572"/>
      <c r="D87" s="572"/>
      <c r="E87" s="572"/>
      <c r="F87" s="68"/>
      <c r="G87" s="68"/>
      <c r="Q87" s="63"/>
      <c r="S87" s="63"/>
      <c r="T87" s="68"/>
      <c r="U87" s="68"/>
      <c r="V87" s="63"/>
      <c r="W87" s="63"/>
      <c r="X87" s="63"/>
      <c r="Y87" s="63"/>
      <c r="Z87" s="68"/>
      <c r="AA87" s="63"/>
      <c r="AB87" s="63"/>
      <c r="AC87" s="309"/>
      <c r="AD87" s="63"/>
      <c r="AE87" s="63"/>
      <c r="AF87" s="63"/>
      <c r="AG87" s="63"/>
      <c r="AH87" s="63"/>
      <c r="AI87" s="8"/>
      <c r="AJ87" s="142"/>
      <c r="AK87" s="142"/>
      <c r="AL87" s="142"/>
      <c r="AM87" s="142"/>
      <c r="AN87" s="203">
        <v>11</v>
      </c>
    </row>
    <row r="88" spans="1:40" s="203" customFormat="1" ht="11.45" customHeight="1">
      <c r="A88" s="572"/>
      <c r="B88" s="572"/>
      <c r="C88" s="572"/>
      <c r="D88" s="572"/>
      <c r="E88" s="572"/>
      <c r="F88" s="68"/>
      <c r="G88" s="68"/>
      <c r="Q88" s="63"/>
      <c r="S88" s="63"/>
      <c r="T88" s="68"/>
      <c r="U88" s="68"/>
      <c r="V88" s="63"/>
      <c r="W88" s="63"/>
      <c r="X88" s="63"/>
      <c r="Y88" s="63"/>
      <c r="Z88" s="68"/>
      <c r="AA88" s="63"/>
      <c r="AB88" s="63"/>
      <c r="AC88" s="309"/>
      <c r="AD88" s="63"/>
      <c r="AE88" s="63"/>
      <c r="AF88" s="63"/>
      <c r="AG88" s="63"/>
      <c r="AH88" s="63"/>
      <c r="AI88" s="8"/>
      <c r="AJ88" s="142"/>
      <c r="AK88" s="142"/>
      <c r="AL88" s="142"/>
      <c r="AM88" s="142"/>
      <c r="AN88" s="203">
        <v>11</v>
      </c>
    </row>
    <row r="89" spans="1:40" s="203" customFormat="1" ht="11.45" customHeight="1">
      <c r="A89" s="572"/>
      <c r="B89" s="572"/>
      <c r="C89" s="572"/>
      <c r="D89" s="572"/>
      <c r="E89" s="572"/>
      <c r="F89" s="68"/>
      <c r="G89" s="68"/>
      <c r="Q89" s="63"/>
      <c r="S89" s="63"/>
      <c r="T89" s="68"/>
      <c r="U89" s="68"/>
      <c r="V89" s="63"/>
      <c r="W89" s="63"/>
      <c r="X89" s="63"/>
      <c r="Y89" s="63"/>
      <c r="Z89" s="68"/>
      <c r="AA89" s="63"/>
      <c r="AB89" s="63"/>
      <c r="AC89" s="309"/>
      <c r="AD89" s="63"/>
      <c r="AE89" s="63"/>
      <c r="AF89" s="63"/>
      <c r="AG89" s="63"/>
      <c r="AH89" s="63"/>
      <c r="AI89" s="8"/>
      <c r="AJ89" s="142"/>
      <c r="AK89" s="142"/>
      <c r="AL89" s="142"/>
      <c r="AM89" s="142"/>
      <c r="AN89" s="203">
        <v>11</v>
      </c>
    </row>
    <row r="90" spans="1:40" s="203" customFormat="1" ht="11.45" customHeight="1">
      <c r="A90" s="572"/>
      <c r="B90" s="572"/>
      <c r="C90" s="572"/>
      <c r="D90" s="572"/>
      <c r="E90" s="572"/>
      <c r="F90" s="68"/>
      <c r="G90" s="68"/>
      <c r="Q90" s="63"/>
      <c r="S90" s="63"/>
      <c r="T90" s="68"/>
      <c r="U90" s="68"/>
      <c r="V90" s="63"/>
      <c r="W90" s="63"/>
      <c r="X90" s="63"/>
      <c r="Y90" s="63"/>
      <c r="Z90" s="68"/>
      <c r="AA90" s="63"/>
      <c r="AB90" s="63"/>
      <c r="AC90" s="309"/>
      <c r="AD90" s="63"/>
      <c r="AE90" s="63"/>
      <c r="AF90" s="63"/>
      <c r="AG90" s="63"/>
      <c r="AH90" s="63"/>
      <c r="AI90" s="8"/>
      <c r="AJ90" s="142"/>
      <c r="AK90" s="142"/>
      <c r="AL90" s="142"/>
      <c r="AM90" s="142"/>
      <c r="AN90" s="203">
        <v>11</v>
      </c>
    </row>
    <row r="91" spans="1:40" s="203" customFormat="1" ht="11.45" customHeight="1">
      <c r="A91" s="572"/>
      <c r="B91" s="572"/>
      <c r="C91" s="572"/>
      <c r="D91" s="572"/>
      <c r="E91" s="572"/>
      <c r="F91" s="68"/>
      <c r="G91" s="68"/>
      <c r="Q91" s="63"/>
      <c r="S91" s="63"/>
      <c r="T91" s="68"/>
      <c r="U91" s="68"/>
      <c r="V91" s="63"/>
      <c r="W91" s="63"/>
      <c r="X91" s="63"/>
      <c r="Y91" s="63"/>
      <c r="Z91" s="68"/>
      <c r="AA91" s="63"/>
      <c r="AB91" s="63"/>
      <c r="AC91" s="309"/>
      <c r="AD91" s="63"/>
      <c r="AE91" s="63"/>
      <c r="AF91" s="63"/>
      <c r="AG91" s="63"/>
      <c r="AH91" s="63"/>
      <c r="AI91" s="8"/>
      <c r="AJ91" s="142"/>
      <c r="AK91" s="142"/>
      <c r="AL91" s="142"/>
      <c r="AM91" s="142"/>
      <c r="AN91" s="203">
        <v>11</v>
      </c>
    </row>
    <row r="92" spans="1:40" s="203" customFormat="1" ht="11.45" customHeight="1">
      <c r="A92" s="572"/>
      <c r="B92" s="572"/>
      <c r="C92" s="572"/>
      <c r="D92" s="572"/>
      <c r="E92" s="572"/>
      <c r="F92" s="68"/>
      <c r="G92" s="68"/>
      <c r="Q92" s="63"/>
      <c r="S92" s="63"/>
      <c r="T92" s="68"/>
      <c r="U92" s="68"/>
      <c r="V92" s="63"/>
      <c r="W92" s="63"/>
      <c r="X92" s="63"/>
      <c r="Y92" s="63"/>
      <c r="Z92" s="68"/>
      <c r="AA92" s="63"/>
      <c r="AB92" s="63"/>
      <c r="AC92" s="309"/>
      <c r="AD92" s="63"/>
      <c r="AE92" s="63"/>
      <c r="AF92" s="63"/>
      <c r="AG92" s="63"/>
      <c r="AH92" s="63"/>
      <c r="AI92" s="8"/>
      <c r="AJ92" s="142"/>
      <c r="AK92" s="142"/>
      <c r="AL92" s="142"/>
      <c r="AM92" s="142"/>
      <c r="AN92" s="203">
        <v>11</v>
      </c>
    </row>
    <row r="93" spans="1:40" s="203" customFormat="1" ht="11.45" customHeight="1">
      <c r="A93" s="572"/>
      <c r="B93" s="572"/>
      <c r="C93" s="572"/>
      <c r="D93" s="572"/>
      <c r="E93" s="572"/>
      <c r="F93" s="68"/>
      <c r="G93" s="68"/>
      <c r="Q93" s="63"/>
      <c r="S93" s="63"/>
      <c r="T93" s="68"/>
      <c r="U93" s="68"/>
      <c r="V93" s="63"/>
      <c r="W93" s="63"/>
      <c r="X93" s="63"/>
      <c r="Y93" s="63"/>
      <c r="Z93" s="68"/>
      <c r="AA93" s="63"/>
      <c r="AB93" s="63"/>
      <c r="AC93" s="309"/>
      <c r="AD93" s="63"/>
      <c r="AE93" s="63"/>
      <c r="AF93" s="63"/>
      <c r="AG93" s="63"/>
      <c r="AH93" s="63"/>
      <c r="AI93" s="8"/>
      <c r="AJ93" s="142"/>
      <c r="AK93" s="142"/>
      <c r="AL93" s="142"/>
      <c r="AM93" s="142"/>
      <c r="AN93" s="203">
        <v>11</v>
      </c>
    </row>
    <row r="94" spans="1:40" s="203" customFormat="1" ht="11.45" customHeight="1">
      <c r="A94" s="572"/>
      <c r="B94" s="572"/>
      <c r="C94" s="572"/>
      <c r="D94" s="572"/>
      <c r="E94" s="572"/>
      <c r="F94" s="68"/>
      <c r="G94" s="68"/>
      <c r="Q94" s="63"/>
      <c r="S94" s="63"/>
      <c r="T94" s="68"/>
      <c r="U94" s="68"/>
      <c r="V94" s="63"/>
      <c r="W94" s="63"/>
      <c r="X94" s="63"/>
      <c r="Y94" s="63"/>
      <c r="Z94" s="68"/>
      <c r="AA94" s="63"/>
      <c r="AB94" s="63"/>
      <c r="AC94" s="309"/>
      <c r="AD94" s="63"/>
      <c r="AE94" s="63"/>
      <c r="AF94" s="63"/>
      <c r="AG94" s="63"/>
      <c r="AH94" s="63"/>
      <c r="AI94" s="8"/>
      <c r="AJ94" s="142"/>
      <c r="AK94" s="142"/>
      <c r="AL94" s="142"/>
      <c r="AM94" s="142"/>
      <c r="AN94" s="203">
        <v>11</v>
      </c>
    </row>
    <row r="95" spans="1:40" s="203" customFormat="1" ht="11.45" customHeight="1">
      <c r="A95" s="572"/>
      <c r="B95" s="572"/>
      <c r="C95" s="572"/>
      <c r="D95" s="572"/>
      <c r="E95" s="572"/>
      <c r="F95" s="68"/>
      <c r="G95" s="68"/>
      <c r="Q95" s="63"/>
      <c r="S95" s="63"/>
      <c r="T95" s="68"/>
      <c r="U95" s="68"/>
      <c r="V95" s="63"/>
      <c r="W95" s="63"/>
      <c r="X95" s="63"/>
      <c r="Y95" s="63"/>
      <c r="Z95" s="68"/>
      <c r="AA95" s="63"/>
      <c r="AB95" s="63"/>
      <c r="AC95" s="309"/>
      <c r="AD95" s="63"/>
      <c r="AE95" s="63"/>
      <c r="AF95" s="63"/>
      <c r="AG95" s="63"/>
      <c r="AH95" s="63"/>
      <c r="AI95" s="8"/>
      <c r="AJ95" s="142"/>
      <c r="AK95" s="142"/>
      <c r="AL95" s="142"/>
      <c r="AM95" s="142"/>
      <c r="AN95" s="203">
        <v>11</v>
      </c>
    </row>
    <row r="96" spans="1:40" s="203" customFormat="1" ht="11.45" customHeight="1">
      <c r="A96" s="572"/>
      <c r="B96" s="572"/>
      <c r="C96" s="572"/>
      <c r="D96" s="572"/>
      <c r="E96" s="572"/>
      <c r="F96" s="68"/>
      <c r="G96" s="68"/>
      <c r="Q96" s="63"/>
      <c r="S96" s="63"/>
      <c r="T96" s="68"/>
      <c r="U96" s="68"/>
      <c r="V96" s="63"/>
      <c r="W96" s="63"/>
      <c r="X96" s="63"/>
      <c r="Y96" s="63"/>
      <c r="Z96" s="68"/>
      <c r="AA96" s="63"/>
      <c r="AB96" s="63"/>
      <c r="AC96" s="309"/>
      <c r="AD96" s="63"/>
      <c r="AE96" s="63"/>
      <c r="AF96" s="63"/>
      <c r="AG96" s="63"/>
      <c r="AH96" s="63"/>
      <c r="AI96" s="8"/>
      <c r="AJ96" s="142"/>
      <c r="AK96" s="142"/>
      <c r="AL96" s="142"/>
      <c r="AM96" s="142"/>
      <c r="AN96" s="203">
        <v>11</v>
      </c>
    </row>
    <row r="97" spans="1:40" s="203" customFormat="1" ht="11.45" customHeight="1">
      <c r="A97" s="572"/>
      <c r="B97" s="572"/>
      <c r="C97" s="572"/>
      <c r="D97" s="572"/>
      <c r="E97" s="572"/>
      <c r="F97" s="68"/>
      <c r="G97" s="68"/>
      <c r="Q97" s="63"/>
      <c r="S97" s="63"/>
      <c r="T97" s="68"/>
      <c r="U97" s="68"/>
      <c r="V97" s="63"/>
      <c r="W97" s="63"/>
      <c r="X97" s="63"/>
      <c r="Y97" s="63"/>
      <c r="Z97" s="68"/>
      <c r="AA97" s="63"/>
      <c r="AB97" s="63"/>
      <c r="AC97" s="309"/>
      <c r="AD97" s="63"/>
      <c r="AE97" s="63"/>
      <c r="AF97" s="63"/>
      <c r="AG97" s="63"/>
      <c r="AH97" s="63"/>
      <c r="AI97" s="8"/>
      <c r="AJ97" s="142"/>
      <c r="AK97" s="142"/>
      <c r="AL97" s="142"/>
      <c r="AM97" s="142"/>
      <c r="AN97" s="203">
        <v>11</v>
      </c>
    </row>
    <row r="98" spans="1:40" s="203" customFormat="1" ht="11.45" customHeight="1">
      <c r="A98" s="572"/>
      <c r="B98" s="572"/>
      <c r="C98" s="572"/>
      <c r="D98" s="572"/>
      <c r="E98" s="572"/>
      <c r="F98" s="68"/>
      <c r="G98" s="68"/>
      <c r="Q98" s="63"/>
      <c r="S98" s="63"/>
      <c r="T98" s="68"/>
      <c r="U98" s="68"/>
      <c r="V98" s="63"/>
      <c r="W98" s="63"/>
      <c r="X98" s="63"/>
      <c r="Y98" s="63"/>
      <c r="Z98" s="68"/>
      <c r="AA98" s="63"/>
      <c r="AB98" s="63"/>
      <c r="AC98" s="309"/>
      <c r="AD98" s="63"/>
      <c r="AE98" s="63"/>
      <c r="AF98" s="63"/>
      <c r="AG98" s="63"/>
      <c r="AH98" s="63"/>
      <c r="AI98" s="8"/>
      <c r="AJ98" s="142"/>
      <c r="AK98" s="142"/>
      <c r="AL98" s="142"/>
      <c r="AM98" s="142"/>
      <c r="AN98" s="203">
        <v>11</v>
      </c>
    </row>
    <row r="99" spans="1:40" s="203" customFormat="1" ht="11.45" customHeight="1">
      <c r="A99" s="572"/>
      <c r="B99" s="572"/>
      <c r="C99" s="572"/>
      <c r="D99" s="572"/>
      <c r="E99" s="572"/>
      <c r="F99" s="68"/>
      <c r="G99" s="68"/>
      <c r="Q99" s="63"/>
      <c r="S99" s="63"/>
      <c r="T99" s="68"/>
      <c r="U99" s="68"/>
      <c r="V99" s="63"/>
      <c r="W99" s="63"/>
      <c r="X99" s="63"/>
      <c r="Y99" s="63"/>
      <c r="Z99" s="68"/>
      <c r="AA99" s="63"/>
      <c r="AB99" s="63"/>
      <c r="AC99" s="309"/>
      <c r="AD99" s="63"/>
      <c r="AE99" s="63"/>
      <c r="AF99" s="63"/>
      <c r="AG99" s="63"/>
      <c r="AH99" s="63"/>
      <c r="AI99" s="8"/>
      <c r="AJ99" s="142"/>
      <c r="AK99" s="142"/>
      <c r="AL99" s="142"/>
      <c r="AM99" s="142"/>
      <c r="AN99" s="203">
        <v>11</v>
      </c>
    </row>
    <row r="100" spans="1:40" s="203" customFormat="1" ht="11.45" customHeight="1">
      <c r="A100" s="572"/>
      <c r="B100" s="572"/>
      <c r="C100" s="572"/>
      <c r="D100" s="572"/>
      <c r="E100" s="572"/>
      <c r="F100" s="68"/>
      <c r="G100" s="68"/>
      <c r="Q100" s="63"/>
      <c r="S100" s="63"/>
      <c r="T100" s="68"/>
      <c r="U100" s="68"/>
      <c r="V100" s="63"/>
      <c r="W100" s="63"/>
      <c r="X100" s="63"/>
      <c r="Y100" s="63"/>
      <c r="Z100" s="68"/>
      <c r="AA100" s="63"/>
      <c r="AB100" s="63"/>
      <c r="AC100" s="309"/>
      <c r="AD100" s="63"/>
      <c r="AE100" s="63"/>
      <c r="AF100" s="63"/>
      <c r="AG100" s="63"/>
      <c r="AH100" s="63"/>
      <c r="AI100" s="8"/>
      <c r="AJ100" s="142"/>
      <c r="AK100" s="142"/>
      <c r="AL100" s="142"/>
      <c r="AM100" s="142"/>
      <c r="AN100" s="203">
        <v>11</v>
      </c>
    </row>
    <row r="101" spans="1:40" s="203" customFormat="1" ht="11.45" customHeight="1">
      <c r="A101" s="572"/>
      <c r="B101" s="572"/>
      <c r="C101" s="572"/>
      <c r="D101" s="572"/>
      <c r="E101" s="572"/>
      <c r="F101" s="68"/>
      <c r="G101" s="68"/>
      <c r="Q101" s="63"/>
      <c r="S101" s="63"/>
      <c r="T101" s="68"/>
      <c r="U101" s="68"/>
      <c r="V101" s="63"/>
      <c r="W101" s="63"/>
      <c r="X101" s="63"/>
      <c r="Y101" s="63"/>
      <c r="Z101" s="68"/>
      <c r="AA101" s="63"/>
      <c r="AB101" s="63"/>
      <c r="AC101" s="309"/>
      <c r="AD101" s="63"/>
      <c r="AE101" s="63"/>
      <c r="AF101" s="63"/>
      <c r="AG101" s="63"/>
      <c r="AH101" s="63"/>
      <c r="AI101" s="8"/>
      <c r="AJ101" s="142"/>
      <c r="AK101" s="142"/>
      <c r="AL101" s="142"/>
      <c r="AM101" s="142"/>
      <c r="AN101" s="203">
        <v>11</v>
      </c>
    </row>
    <row r="102" spans="1:40" s="203" customFormat="1" ht="11.45" customHeight="1">
      <c r="A102" s="572"/>
      <c r="B102" s="572"/>
      <c r="C102" s="572"/>
      <c r="D102" s="572"/>
      <c r="E102" s="572"/>
      <c r="F102" s="68"/>
      <c r="G102" s="68"/>
      <c r="Q102" s="63"/>
      <c r="S102" s="63"/>
      <c r="T102" s="68"/>
      <c r="U102" s="68"/>
      <c r="V102" s="63"/>
      <c r="W102" s="63"/>
      <c r="X102" s="63"/>
      <c r="Y102" s="63"/>
      <c r="Z102" s="68"/>
      <c r="AA102" s="63"/>
      <c r="AB102" s="63"/>
      <c r="AC102" s="309"/>
      <c r="AD102" s="63"/>
      <c r="AE102" s="63"/>
      <c r="AF102" s="63"/>
      <c r="AG102" s="63"/>
      <c r="AH102" s="63"/>
      <c r="AI102" s="8"/>
      <c r="AJ102" s="142"/>
      <c r="AK102" s="142"/>
      <c r="AL102" s="142"/>
      <c r="AM102" s="142"/>
      <c r="AN102" s="203">
        <v>11</v>
      </c>
    </row>
    <row r="103" spans="1:40" s="203" customFormat="1" ht="11.45" customHeight="1">
      <c r="A103" s="572"/>
      <c r="B103" s="572"/>
      <c r="C103" s="572"/>
      <c r="D103" s="572"/>
      <c r="E103" s="572"/>
      <c r="F103" s="68"/>
      <c r="G103" s="68"/>
      <c r="Q103" s="63"/>
      <c r="S103" s="63"/>
      <c r="T103" s="68"/>
      <c r="U103" s="68"/>
      <c r="V103" s="63"/>
      <c r="W103" s="63"/>
      <c r="X103" s="63"/>
      <c r="Y103" s="63"/>
      <c r="Z103" s="68"/>
      <c r="AA103" s="63"/>
      <c r="AB103" s="63"/>
      <c r="AC103" s="309"/>
      <c r="AD103" s="63"/>
      <c r="AE103" s="63"/>
      <c r="AF103" s="63"/>
      <c r="AG103" s="63"/>
      <c r="AH103" s="63"/>
      <c r="AI103" s="8"/>
      <c r="AJ103" s="142"/>
      <c r="AK103" s="142"/>
      <c r="AL103" s="142"/>
      <c r="AM103" s="142"/>
      <c r="AN103" s="203">
        <v>11</v>
      </c>
    </row>
    <row r="104" spans="1:40" s="203" customFormat="1" ht="11.45" customHeight="1">
      <c r="A104" s="572"/>
      <c r="B104" s="572"/>
      <c r="C104" s="572"/>
      <c r="D104" s="572"/>
      <c r="E104" s="572"/>
      <c r="F104" s="68"/>
      <c r="G104" s="68"/>
      <c r="Q104" s="63"/>
      <c r="S104" s="63"/>
      <c r="T104" s="68"/>
      <c r="U104" s="68"/>
      <c r="V104" s="63"/>
      <c r="W104" s="63"/>
      <c r="X104" s="63"/>
      <c r="Y104" s="63"/>
      <c r="Z104" s="68"/>
      <c r="AA104" s="63"/>
      <c r="AB104" s="63"/>
      <c r="AC104" s="309"/>
      <c r="AD104" s="63"/>
      <c r="AE104" s="63"/>
      <c r="AF104" s="63"/>
      <c r="AG104" s="63"/>
      <c r="AH104" s="63"/>
      <c r="AI104" s="8"/>
      <c r="AJ104" s="142"/>
      <c r="AK104" s="142"/>
      <c r="AL104" s="142"/>
      <c r="AM104" s="142"/>
      <c r="AN104" s="203">
        <v>11</v>
      </c>
    </row>
    <row r="105" spans="1:40" s="203" customFormat="1" ht="11.45" customHeight="1">
      <c r="A105" s="572"/>
      <c r="B105" s="572"/>
      <c r="C105" s="572"/>
      <c r="D105" s="572"/>
      <c r="E105" s="572"/>
      <c r="F105" s="68"/>
      <c r="G105" s="68"/>
      <c r="Q105" s="63"/>
      <c r="S105" s="63"/>
      <c r="T105" s="68"/>
      <c r="U105" s="68"/>
      <c r="V105" s="63"/>
      <c r="W105" s="63"/>
      <c r="X105" s="63"/>
      <c r="Y105" s="63"/>
      <c r="Z105" s="68"/>
      <c r="AA105" s="63"/>
      <c r="AB105" s="63"/>
      <c r="AC105" s="309"/>
      <c r="AD105" s="63"/>
      <c r="AE105" s="63"/>
      <c r="AF105" s="63"/>
      <c r="AG105" s="63"/>
      <c r="AH105" s="63"/>
      <c r="AI105" s="8"/>
      <c r="AJ105" s="142"/>
      <c r="AK105" s="142"/>
      <c r="AL105" s="142"/>
      <c r="AM105" s="142"/>
      <c r="AN105" s="203">
        <v>11</v>
      </c>
    </row>
    <row r="106" spans="1:40" s="203" customFormat="1" ht="11.45" customHeight="1">
      <c r="A106" s="572"/>
      <c r="B106" s="572"/>
      <c r="C106" s="572"/>
      <c r="D106" s="572"/>
      <c r="E106" s="572"/>
      <c r="F106" s="68"/>
      <c r="G106" s="68"/>
      <c r="Q106" s="63"/>
      <c r="S106" s="63"/>
      <c r="T106" s="68"/>
      <c r="U106" s="68"/>
      <c r="V106" s="63"/>
      <c r="W106" s="63"/>
      <c r="X106" s="63"/>
      <c r="Y106" s="63"/>
      <c r="Z106" s="68"/>
      <c r="AA106" s="63"/>
      <c r="AB106" s="63"/>
      <c r="AC106" s="309"/>
      <c r="AD106" s="63"/>
      <c r="AE106" s="63"/>
      <c r="AF106" s="63"/>
      <c r="AG106" s="63"/>
      <c r="AH106" s="63"/>
      <c r="AI106" s="8"/>
      <c r="AJ106" s="142"/>
      <c r="AK106" s="142"/>
      <c r="AL106" s="142"/>
      <c r="AM106" s="142"/>
      <c r="AN106" s="203">
        <v>11</v>
      </c>
    </row>
    <row r="107" spans="1:40" s="203" customFormat="1" ht="11.45" customHeight="1">
      <c r="A107" s="572"/>
      <c r="B107" s="572"/>
      <c r="C107" s="572"/>
      <c r="D107" s="572"/>
      <c r="E107" s="572"/>
      <c r="F107" s="68"/>
      <c r="G107" s="68"/>
      <c r="Q107" s="63"/>
      <c r="S107" s="63"/>
      <c r="T107" s="68"/>
      <c r="U107" s="68"/>
      <c r="V107" s="63"/>
      <c r="W107" s="63"/>
      <c r="X107" s="63"/>
      <c r="Y107" s="63"/>
      <c r="Z107" s="68"/>
      <c r="AA107" s="63"/>
      <c r="AB107" s="63"/>
      <c r="AC107" s="309"/>
      <c r="AD107" s="63"/>
      <c r="AE107" s="63"/>
      <c r="AF107" s="63"/>
      <c r="AG107" s="63"/>
      <c r="AH107" s="63"/>
      <c r="AI107" s="8"/>
      <c r="AJ107" s="142"/>
      <c r="AK107" s="142"/>
      <c r="AL107" s="142"/>
      <c r="AM107" s="142"/>
      <c r="AN107" s="203">
        <v>11</v>
      </c>
    </row>
    <row r="108" spans="1:40" s="203" customFormat="1" ht="11.45" customHeight="1">
      <c r="A108" s="572"/>
      <c r="B108" s="572"/>
      <c r="C108" s="572"/>
      <c r="D108" s="572"/>
      <c r="E108" s="572"/>
      <c r="F108" s="68"/>
      <c r="G108" s="68"/>
      <c r="Q108" s="63"/>
      <c r="S108" s="63"/>
      <c r="T108" s="68"/>
      <c r="U108" s="68"/>
      <c r="V108" s="63"/>
      <c r="W108" s="63"/>
      <c r="X108" s="63"/>
      <c r="Y108" s="63"/>
      <c r="Z108" s="68"/>
      <c r="AA108" s="63"/>
      <c r="AB108" s="63"/>
      <c r="AC108" s="309"/>
      <c r="AD108" s="63"/>
      <c r="AE108" s="63"/>
      <c r="AF108" s="63"/>
      <c r="AG108" s="63"/>
      <c r="AH108" s="63"/>
      <c r="AI108" s="8"/>
      <c r="AJ108" s="142"/>
      <c r="AK108" s="142"/>
      <c r="AL108" s="142"/>
      <c r="AM108" s="142"/>
      <c r="AN108" s="203">
        <v>11</v>
      </c>
    </row>
    <row r="109" spans="1:40" s="203" customFormat="1" ht="11.45" customHeight="1">
      <c r="A109" s="572"/>
      <c r="B109" s="572"/>
      <c r="C109" s="572"/>
      <c r="D109" s="572"/>
      <c r="E109" s="572"/>
      <c r="F109" s="68"/>
      <c r="G109" s="68"/>
      <c r="Q109" s="63"/>
      <c r="S109" s="63"/>
      <c r="T109" s="68"/>
      <c r="U109" s="68"/>
      <c r="V109" s="63"/>
      <c r="W109" s="63"/>
      <c r="X109" s="63"/>
      <c r="Y109" s="63"/>
      <c r="Z109" s="68"/>
      <c r="AA109" s="63"/>
      <c r="AB109" s="63"/>
      <c r="AC109" s="309"/>
      <c r="AD109" s="63"/>
      <c r="AE109" s="63"/>
      <c r="AF109" s="63"/>
      <c r="AG109" s="63"/>
      <c r="AH109" s="63"/>
      <c r="AI109" s="8"/>
      <c r="AJ109" s="142"/>
      <c r="AK109" s="142"/>
      <c r="AL109" s="142"/>
      <c r="AM109" s="142"/>
      <c r="AN109" s="203">
        <v>11</v>
      </c>
    </row>
    <row r="110" spans="1:40" s="203" customFormat="1" ht="11.45" customHeight="1">
      <c r="A110" s="572"/>
      <c r="B110" s="572"/>
      <c r="C110" s="572"/>
      <c r="D110" s="572"/>
      <c r="E110" s="572"/>
      <c r="F110" s="68"/>
      <c r="G110" s="68"/>
      <c r="Q110" s="63"/>
      <c r="S110" s="63"/>
      <c r="T110" s="68"/>
      <c r="U110" s="68"/>
      <c r="V110" s="63"/>
      <c r="W110" s="63"/>
      <c r="X110" s="63"/>
      <c r="Y110" s="63"/>
      <c r="Z110" s="68"/>
      <c r="AA110" s="63"/>
      <c r="AB110" s="63"/>
      <c r="AC110" s="309"/>
      <c r="AD110" s="63"/>
      <c r="AE110" s="63"/>
      <c r="AF110" s="63"/>
      <c r="AG110" s="63"/>
      <c r="AH110" s="63"/>
      <c r="AI110" s="8"/>
      <c r="AJ110" s="142"/>
      <c r="AK110" s="142"/>
      <c r="AL110" s="142"/>
      <c r="AM110" s="142"/>
      <c r="AN110" s="203">
        <v>11</v>
      </c>
    </row>
    <row r="111" spans="1:40" s="203" customFormat="1" ht="11.45" customHeight="1">
      <c r="A111" s="572"/>
      <c r="B111" s="572"/>
      <c r="C111" s="572"/>
      <c r="D111" s="572"/>
      <c r="E111" s="572"/>
      <c r="F111" s="68"/>
      <c r="G111" s="68"/>
      <c r="Q111" s="63"/>
      <c r="S111" s="63"/>
      <c r="T111" s="68"/>
      <c r="U111" s="68"/>
      <c r="V111" s="63"/>
      <c r="W111" s="63"/>
      <c r="X111" s="63"/>
      <c r="Y111" s="63"/>
      <c r="Z111" s="68"/>
      <c r="AA111" s="63"/>
      <c r="AB111" s="63"/>
      <c r="AC111" s="309"/>
      <c r="AD111" s="63"/>
      <c r="AE111" s="63"/>
      <c r="AF111" s="63"/>
      <c r="AG111" s="63"/>
      <c r="AH111" s="63"/>
      <c r="AI111" s="8"/>
      <c r="AJ111" s="142"/>
      <c r="AK111" s="142"/>
      <c r="AL111" s="142"/>
      <c r="AM111" s="142"/>
      <c r="AN111" s="203">
        <v>11</v>
      </c>
    </row>
    <row r="112" spans="1:40" s="203" customFormat="1" ht="11.45" customHeight="1">
      <c r="A112" s="572"/>
      <c r="B112" s="572"/>
      <c r="C112" s="572"/>
      <c r="D112" s="572"/>
      <c r="E112" s="572"/>
      <c r="F112" s="68"/>
      <c r="G112" s="68"/>
      <c r="Q112" s="63"/>
      <c r="S112" s="63"/>
      <c r="T112" s="68"/>
      <c r="U112" s="68"/>
      <c r="V112" s="63"/>
      <c r="W112" s="63"/>
      <c r="X112" s="63"/>
      <c r="Y112" s="63"/>
      <c r="Z112" s="68"/>
      <c r="AA112" s="63"/>
      <c r="AB112" s="63"/>
      <c r="AC112" s="309"/>
      <c r="AD112" s="63"/>
      <c r="AE112" s="63"/>
      <c r="AF112" s="63"/>
      <c r="AG112" s="63"/>
      <c r="AH112" s="63"/>
      <c r="AI112" s="8"/>
      <c r="AJ112" s="142"/>
      <c r="AK112" s="142"/>
      <c r="AL112" s="142"/>
      <c r="AM112" s="142"/>
      <c r="AN112" s="203">
        <v>11</v>
      </c>
    </row>
    <row r="113" spans="1:40" s="203" customFormat="1" ht="11.45" customHeight="1">
      <c r="A113" s="572"/>
      <c r="B113" s="572"/>
      <c r="C113" s="572"/>
      <c r="D113" s="572"/>
      <c r="E113" s="572"/>
      <c r="F113" s="68"/>
      <c r="G113" s="68"/>
      <c r="Q113" s="63"/>
      <c r="S113" s="63"/>
      <c r="T113" s="68"/>
      <c r="U113" s="68"/>
      <c r="V113" s="63"/>
      <c r="W113" s="63"/>
      <c r="X113" s="63"/>
      <c r="Y113" s="63"/>
      <c r="Z113" s="68"/>
      <c r="AA113" s="63"/>
      <c r="AB113" s="63"/>
      <c r="AC113" s="309"/>
      <c r="AD113" s="63"/>
      <c r="AE113" s="63"/>
      <c r="AF113" s="63"/>
      <c r="AG113" s="63"/>
      <c r="AH113" s="63"/>
      <c r="AI113" s="8"/>
      <c r="AJ113" s="142"/>
      <c r="AK113" s="142"/>
      <c r="AL113" s="142"/>
      <c r="AM113" s="142"/>
      <c r="AN113" s="203">
        <v>11</v>
      </c>
    </row>
    <row r="114" spans="1:40" s="203" customFormat="1" ht="11.45" customHeight="1">
      <c r="A114" s="572"/>
      <c r="B114" s="572"/>
      <c r="C114" s="572"/>
      <c r="D114" s="572"/>
      <c r="E114" s="572"/>
      <c r="F114" s="68"/>
      <c r="G114" s="68"/>
      <c r="Q114" s="63"/>
      <c r="S114" s="63"/>
      <c r="T114" s="68"/>
      <c r="U114" s="68"/>
      <c r="V114" s="63"/>
      <c r="W114" s="63"/>
      <c r="X114" s="63"/>
      <c r="Y114" s="63"/>
      <c r="Z114" s="68"/>
      <c r="AA114" s="63"/>
      <c r="AB114" s="63"/>
      <c r="AC114" s="309"/>
      <c r="AD114" s="63"/>
      <c r="AE114" s="63"/>
      <c r="AF114" s="63"/>
      <c r="AG114" s="63"/>
      <c r="AH114" s="63"/>
      <c r="AI114" s="8"/>
      <c r="AJ114" s="142"/>
      <c r="AK114" s="142"/>
      <c r="AL114" s="142"/>
      <c r="AM114" s="142"/>
      <c r="AN114" s="203">
        <v>11</v>
      </c>
    </row>
    <row r="115" spans="1:40" s="203" customFormat="1" ht="11.45" customHeight="1">
      <c r="A115" s="572"/>
      <c r="B115" s="572"/>
      <c r="C115" s="572"/>
      <c r="D115" s="572"/>
      <c r="E115" s="572"/>
      <c r="F115" s="68"/>
      <c r="G115" s="68"/>
      <c r="Q115" s="63"/>
      <c r="S115" s="63"/>
      <c r="T115" s="68"/>
      <c r="U115" s="68"/>
      <c r="V115" s="63"/>
      <c r="W115" s="63"/>
      <c r="X115" s="63"/>
      <c r="Y115" s="63"/>
      <c r="Z115" s="68"/>
      <c r="AA115" s="63"/>
      <c r="AB115" s="63"/>
      <c r="AC115" s="309"/>
      <c r="AD115" s="63"/>
      <c r="AE115" s="63"/>
      <c r="AF115" s="63"/>
      <c r="AG115" s="63"/>
      <c r="AH115" s="63"/>
      <c r="AI115" s="8"/>
      <c r="AJ115" s="142"/>
      <c r="AK115" s="142"/>
      <c r="AL115" s="142"/>
      <c r="AM115" s="142"/>
      <c r="AN115" s="203">
        <v>11</v>
      </c>
    </row>
    <row r="116" spans="1:40" s="203" customFormat="1" ht="11.45" customHeight="1">
      <c r="A116" s="572"/>
      <c r="B116" s="572"/>
      <c r="C116" s="572"/>
      <c r="D116" s="572"/>
      <c r="E116" s="572"/>
      <c r="F116" s="68"/>
      <c r="G116" s="68"/>
      <c r="Q116" s="63"/>
      <c r="S116" s="63"/>
      <c r="T116" s="68"/>
      <c r="U116" s="68"/>
      <c r="V116" s="63"/>
      <c r="W116" s="63"/>
      <c r="X116" s="63"/>
      <c r="Y116" s="63"/>
      <c r="Z116" s="68"/>
      <c r="AA116" s="63"/>
      <c r="AB116" s="63"/>
      <c r="AC116" s="309"/>
      <c r="AD116" s="63"/>
      <c r="AE116" s="63"/>
      <c r="AF116" s="63"/>
      <c r="AG116" s="63"/>
      <c r="AH116" s="63"/>
      <c r="AI116" s="8"/>
      <c r="AJ116" s="142"/>
      <c r="AK116" s="142"/>
      <c r="AL116" s="142"/>
      <c r="AM116" s="142"/>
      <c r="AN116" s="203">
        <v>11</v>
      </c>
    </row>
    <row r="117" spans="1:40" s="203" customFormat="1" ht="11.45" customHeight="1">
      <c r="A117" s="572"/>
      <c r="B117" s="572"/>
      <c r="C117" s="572"/>
      <c r="D117" s="572"/>
      <c r="E117" s="572"/>
      <c r="F117" s="68"/>
      <c r="G117" s="68"/>
      <c r="Q117" s="63"/>
      <c r="S117" s="63"/>
      <c r="T117" s="68"/>
      <c r="U117" s="68"/>
      <c r="V117" s="63"/>
      <c r="W117" s="63"/>
      <c r="X117" s="63"/>
      <c r="Y117" s="63"/>
      <c r="Z117" s="68"/>
      <c r="AA117" s="63"/>
      <c r="AB117" s="63"/>
      <c r="AC117" s="309"/>
      <c r="AD117" s="63"/>
      <c r="AE117" s="63"/>
      <c r="AF117" s="63"/>
      <c r="AG117" s="63"/>
      <c r="AH117" s="63"/>
      <c r="AI117" s="8"/>
      <c r="AJ117" s="142"/>
      <c r="AK117" s="142"/>
      <c r="AL117" s="142"/>
      <c r="AM117" s="142"/>
      <c r="AN117" s="203">
        <v>11</v>
      </c>
    </row>
    <row r="118" spans="1:40" s="203" customFormat="1" ht="11.45" customHeight="1">
      <c r="A118" s="572"/>
      <c r="B118" s="572"/>
      <c r="C118" s="572"/>
      <c r="D118" s="572"/>
      <c r="E118" s="572"/>
      <c r="F118" s="68"/>
      <c r="G118" s="68"/>
      <c r="Q118" s="63"/>
      <c r="S118" s="63"/>
      <c r="T118" s="68"/>
      <c r="U118" s="68"/>
      <c r="V118" s="63"/>
      <c r="W118" s="63"/>
      <c r="X118" s="63"/>
      <c r="Y118" s="63"/>
      <c r="Z118" s="68"/>
      <c r="AA118" s="63"/>
      <c r="AB118" s="63"/>
      <c r="AC118" s="309"/>
      <c r="AD118" s="63"/>
      <c r="AE118" s="63"/>
      <c r="AF118" s="63"/>
      <c r="AG118" s="63"/>
      <c r="AH118" s="63"/>
      <c r="AI118" s="8"/>
      <c r="AJ118" s="142"/>
      <c r="AK118" s="142"/>
      <c r="AL118" s="142"/>
      <c r="AM118" s="142"/>
      <c r="AN118" s="203">
        <v>11</v>
      </c>
    </row>
    <row r="119" spans="1:40" s="203" customFormat="1" ht="11.45" customHeight="1">
      <c r="A119" s="572"/>
      <c r="B119" s="572"/>
      <c r="C119" s="572"/>
      <c r="D119" s="572"/>
      <c r="E119" s="572"/>
      <c r="F119" s="68"/>
      <c r="G119" s="68"/>
      <c r="Q119" s="63"/>
      <c r="S119" s="63"/>
      <c r="T119" s="68"/>
      <c r="U119" s="68"/>
      <c r="V119" s="63"/>
      <c r="W119" s="63"/>
      <c r="X119" s="63"/>
      <c r="Y119" s="63"/>
      <c r="Z119" s="68"/>
      <c r="AA119" s="63"/>
      <c r="AB119" s="63"/>
      <c r="AC119" s="309"/>
      <c r="AD119" s="63"/>
      <c r="AE119" s="63"/>
      <c r="AF119" s="63"/>
      <c r="AG119" s="63"/>
      <c r="AH119" s="63"/>
      <c r="AI119" s="8"/>
      <c r="AJ119" s="142"/>
      <c r="AK119" s="142"/>
      <c r="AL119" s="142"/>
      <c r="AM119" s="142"/>
      <c r="AN119" s="203">
        <v>11</v>
      </c>
    </row>
    <row r="120" spans="1:40" s="203" customFormat="1" ht="11.45" customHeight="1">
      <c r="A120" s="572"/>
      <c r="B120" s="572"/>
      <c r="C120" s="572"/>
      <c r="D120" s="572"/>
      <c r="E120" s="572"/>
      <c r="F120" s="68"/>
      <c r="G120" s="68"/>
      <c r="Q120" s="63"/>
      <c r="S120" s="63"/>
      <c r="T120" s="68"/>
      <c r="U120" s="68"/>
      <c r="V120" s="63"/>
      <c r="W120" s="63"/>
      <c r="X120" s="63"/>
      <c r="Y120" s="63"/>
      <c r="Z120" s="68"/>
      <c r="AA120" s="63"/>
      <c r="AB120" s="63"/>
      <c r="AC120" s="309"/>
      <c r="AD120" s="63"/>
      <c r="AE120" s="63"/>
      <c r="AF120" s="63"/>
      <c r="AG120" s="63"/>
      <c r="AH120" s="63"/>
      <c r="AI120" s="8"/>
      <c r="AJ120" s="142"/>
      <c r="AK120" s="142"/>
      <c r="AL120" s="142"/>
      <c r="AM120" s="142"/>
      <c r="AN120" s="203">
        <v>11</v>
      </c>
    </row>
    <row r="121" spans="1:40" s="203" customFormat="1" ht="11.45" customHeight="1">
      <c r="A121" s="572"/>
      <c r="B121" s="572"/>
      <c r="C121" s="572"/>
      <c r="D121" s="572"/>
      <c r="E121" s="572"/>
      <c r="F121" s="68"/>
      <c r="G121" s="68"/>
      <c r="Q121" s="63"/>
      <c r="S121" s="63"/>
      <c r="T121" s="68"/>
      <c r="U121" s="68"/>
      <c r="V121" s="63"/>
      <c r="W121" s="63"/>
      <c r="X121" s="63"/>
      <c r="Y121" s="63"/>
      <c r="Z121" s="68"/>
      <c r="AA121" s="63"/>
      <c r="AB121" s="63"/>
      <c r="AC121" s="309"/>
      <c r="AD121" s="63"/>
      <c r="AE121" s="63"/>
      <c r="AF121" s="63"/>
      <c r="AG121" s="63"/>
      <c r="AH121" s="63"/>
      <c r="AI121" s="8"/>
      <c r="AJ121" s="142"/>
      <c r="AK121" s="142"/>
      <c r="AL121" s="142"/>
      <c r="AM121" s="142"/>
      <c r="AN121" s="203">
        <v>11</v>
      </c>
    </row>
    <row r="122" spans="1:40" s="203" customFormat="1" ht="11.45" customHeight="1">
      <c r="A122" s="572"/>
      <c r="B122" s="572"/>
      <c r="C122" s="572"/>
      <c r="D122" s="572"/>
      <c r="E122" s="572"/>
      <c r="F122" s="68"/>
      <c r="G122" s="68"/>
      <c r="Q122" s="63"/>
      <c r="S122" s="63"/>
      <c r="T122" s="68"/>
      <c r="U122" s="68"/>
      <c r="V122" s="63"/>
      <c r="W122" s="63"/>
      <c r="X122" s="63"/>
      <c r="Y122" s="63"/>
      <c r="Z122" s="68"/>
      <c r="AA122" s="63"/>
      <c r="AB122" s="63"/>
      <c r="AC122" s="309"/>
      <c r="AD122" s="63"/>
      <c r="AE122" s="63"/>
      <c r="AF122" s="63"/>
      <c r="AG122" s="63"/>
      <c r="AH122" s="63"/>
      <c r="AI122" s="8"/>
      <c r="AJ122" s="142"/>
      <c r="AK122" s="142"/>
      <c r="AL122" s="142"/>
      <c r="AM122" s="142"/>
      <c r="AN122" s="203">
        <v>11</v>
      </c>
    </row>
    <row r="123" spans="1:40" s="203" customFormat="1" ht="11.45" customHeight="1">
      <c r="A123" s="572"/>
      <c r="B123" s="572"/>
      <c r="C123" s="572"/>
      <c r="D123" s="572"/>
      <c r="E123" s="572"/>
      <c r="F123" s="68"/>
      <c r="G123" s="68"/>
      <c r="Q123" s="63"/>
      <c r="S123" s="63"/>
      <c r="T123" s="68"/>
      <c r="U123" s="68"/>
      <c r="V123" s="63"/>
      <c r="W123" s="63"/>
      <c r="X123" s="63"/>
      <c r="Y123" s="63"/>
      <c r="Z123" s="68"/>
      <c r="AA123" s="63"/>
      <c r="AB123" s="63"/>
      <c r="AC123" s="309"/>
      <c r="AD123" s="63"/>
      <c r="AE123" s="63"/>
      <c r="AF123" s="63"/>
      <c r="AG123" s="63"/>
      <c r="AH123" s="63"/>
      <c r="AI123" s="8"/>
      <c r="AJ123" s="142"/>
      <c r="AK123" s="142"/>
      <c r="AL123" s="142"/>
      <c r="AM123" s="142"/>
      <c r="AN123" s="203">
        <v>11</v>
      </c>
    </row>
    <row r="124" spans="1:40" s="203" customFormat="1" ht="11.45" customHeight="1">
      <c r="A124" s="572"/>
      <c r="B124" s="572"/>
      <c r="C124" s="572"/>
      <c r="D124" s="572"/>
      <c r="E124" s="572"/>
      <c r="F124" s="68"/>
      <c r="G124" s="68"/>
      <c r="Q124" s="63"/>
      <c r="S124" s="63"/>
      <c r="T124" s="68"/>
      <c r="U124" s="68"/>
      <c r="V124" s="63"/>
      <c r="W124" s="63"/>
      <c r="X124" s="63"/>
      <c r="Y124" s="63"/>
      <c r="Z124" s="68"/>
      <c r="AA124" s="63"/>
      <c r="AB124" s="63"/>
      <c r="AC124" s="309"/>
      <c r="AD124" s="63"/>
      <c r="AE124" s="63"/>
      <c r="AF124" s="63"/>
      <c r="AG124" s="63"/>
      <c r="AH124" s="63"/>
      <c r="AI124" s="8"/>
      <c r="AJ124" s="142"/>
      <c r="AK124" s="142"/>
      <c r="AL124" s="142"/>
      <c r="AM124" s="142"/>
      <c r="AN124" s="203">
        <v>11</v>
      </c>
    </row>
    <row r="125" spans="1:40" s="203" customFormat="1" ht="11.45" customHeight="1">
      <c r="A125" s="572"/>
      <c r="B125" s="572"/>
      <c r="C125" s="572"/>
      <c r="D125" s="572"/>
      <c r="E125" s="572"/>
      <c r="F125" s="68"/>
      <c r="G125" s="68"/>
      <c r="Q125" s="63"/>
      <c r="S125" s="63"/>
      <c r="T125" s="68"/>
      <c r="U125" s="68"/>
      <c r="V125" s="63"/>
      <c r="W125" s="63"/>
      <c r="X125" s="63"/>
      <c r="Y125" s="63"/>
      <c r="Z125" s="68"/>
      <c r="AA125" s="63"/>
      <c r="AB125" s="63"/>
      <c r="AC125" s="309"/>
      <c r="AD125" s="63"/>
      <c r="AE125" s="63"/>
      <c r="AF125" s="63"/>
      <c r="AG125" s="63"/>
      <c r="AH125" s="63"/>
      <c r="AI125" s="8"/>
      <c r="AJ125" s="142"/>
      <c r="AK125" s="142"/>
      <c r="AL125" s="142"/>
      <c r="AM125" s="142"/>
      <c r="AN125" s="203">
        <v>11</v>
      </c>
    </row>
    <row r="126" spans="1:40" s="203" customFormat="1" ht="11.45" customHeight="1">
      <c r="A126" s="572"/>
      <c r="B126" s="572"/>
      <c r="C126" s="572"/>
      <c r="D126" s="572"/>
      <c r="E126" s="572"/>
      <c r="F126" s="68"/>
      <c r="G126" s="68"/>
      <c r="Q126" s="63"/>
      <c r="S126" s="63"/>
      <c r="T126" s="68"/>
      <c r="U126" s="68"/>
      <c r="V126" s="63"/>
      <c r="W126" s="63"/>
      <c r="X126" s="63"/>
      <c r="Y126" s="63"/>
      <c r="Z126" s="68"/>
      <c r="AA126" s="63"/>
      <c r="AB126" s="63"/>
      <c r="AC126" s="309"/>
      <c r="AD126" s="63"/>
      <c r="AE126" s="63"/>
      <c r="AF126" s="63"/>
      <c r="AG126" s="63"/>
      <c r="AH126" s="63"/>
      <c r="AI126" s="8"/>
      <c r="AJ126" s="142"/>
      <c r="AK126" s="142"/>
      <c r="AL126" s="142"/>
      <c r="AM126" s="142"/>
      <c r="AN126" s="203">
        <v>11</v>
      </c>
    </row>
    <row r="127" spans="1:40" s="203" customFormat="1" ht="11.45" customHeight="1">
      <c r="A127" s="572"/>
      <c r="B127" s="572"/>
      <c r="C127" s="572"/>
      <c r="D127" s="572"/>
      <c r="E127" s="572"/>
      <c r="F127" s="68"/>
      <c r="G127" s="68"/>
      <c r="Q127" s="63"/>
      <c r="S127" s="63"/>
      <c r="T127" s="68"/>
      <c r="U127" s="68"/>
      <c r="V127" s="63"/>
      <c r="W127" s="63"/>
      <c r="X127" s="63"/>
      <c r="Y127" s="63"/>
      <c r="Z127" s="68"/>
      <c r="AA127" s="63"/>
      <c r="AB127" s="63"/>
      <c r="AC127" s="309"/>
      <c r="AD127" s="63"/>
      <c r="AE127" s="63"/>
      <c r="AF127" s="63"/>
      <c r="AG127" s="63"/>
      <c r="AH127" s="63"/>
      <c r="AI127" s="8"/>
      <c r="AJ127" s="142"/>
      <c r="AK127" s="142"/>
      <c r="AL127" s="142"/>
      <c r="AM127" s="142"/>
      <c r="AN127" s="203">
        <v>11</v>
      </c>
    </row>
    <row r="128" spans="1:40" s="203" customFormat="1" ht="11.45" customHeight="1">
      <c r="A128" s="572"/>
      <c r="B128" s="572"/>
      <c r="C128" s="572"/>
      <c r="D128" s="572"/>
      <c r="E128" s="572"/>
      <c r="F128" s="68"/>
      <c r="G128" s="68"/>
      <c r="Q128" s="63"/>
      <c r="S128" s="63"/>
      <c r="T128" s="68"/>
      <c r="U128" s="68"/>
      <c r="V128" s="63"/>
      <c r="W128" s="63"/>
      <c r="X128" s="63"/>
      <c r="Y128" s="63"/>
      <c r="Z128" s="68"/>
      <c r="AA128" s="63"/>
      <c r="AB128" s="63"/>
      <c r="AC128" s="309"/>
      <c r="AD128" s="63"/>
      <c r="AE128" s="63"/>
      <c r="AF128" s="63"/>
      <c r="AG128" s="63"/>
      <c r="AH128" s="63"/>
      <c r="AI128" s="8"/>
      <c r="AJ128" s="142"/>
      <c r="AK128" s="142"/>
      <c r="AL128" s="142"/>
      <c r="AM128" s="142"/>
      <c r="AN128" s="203">
        <v>11</v>
      </c>
    </row>
    <row r="129" spans="1:40" s="203" customFormat="1" ht="11.45" customHeight="1">
      <c r="A129" s="572"/>
      <c r="B129" s="572"/>
      <c r="C129" s="572"/>
      <c r="D129" s="572"/>
      <c r="E129" s="572"/>
      <c r="F129" s="68"/>
      <c r="G129" s="68"/>
      <c r="Q129" s="63"/>
      <c r="S129" s="63"/>
      <c r="T129" s="68"/>
      <c r="U129" s="68"/>
      <c r="V129" s="63"/>
      <c r="W129" s="63"/>
      <c r="X129" s="63"/>
      <c r="Y129" s="63"/>
      <c r="Z129" s="68"/>
      <c r="AA129" s="63"/>
      <c r="AB129" s="63"/>
      <c r="AC129" s="309"/>
      <c r="AD129" s="63"/>
      <c r="AE129" s="63"/>
      <c r="AF129" s="63"/>
      <c r="AG129" s="63"/>
      <c r="AH129" s="63"/>
      <c r="AI129" s="8"/>
      <c r="AJ129" s="142"/>
      <c r="AK129" s="142"/>
      <c r="AL129" s="142"/>
      <c r="AM129" s="142"/>
      <c r="AN129" s="203">
        <v>11</v>
      </c>
    </row>
    <row r="130" spans="1:40" s="203" customFormat="1" ht="11.45" customHeight="1">
      <c r="A130" s="572"/>
      <c r="B130" s="572"/>
      <c r="C130" s="572"/>
      <c r="D130" s="572"/>
      <c r="E130" s="572"/>
      <c r="F130" s="68"/>
      <c r="G130" s="68"/>
      <c r="Q130" s="63"/>
      <c r="S130" s="63"/>
      <c r="T130" s="68"/>
      <c r="U130" s="68"/>
      <c r="V130" s="63"/>
      <c r="W130" s="63"/>
      <c r="X130" s="63"/>
      <c r="Y130" s="63"/>
      <c r="Z130" s="68"/>
      <c r="AA130" s="63"/>
      <c r="AB130" s="63"/>
      <c r="AC130" s="309"/>
      <c r="AD130" s="63"/>
      <c r="AE130" s="63"/>
      <c r="AF130" s="63"/>
      <c r="AG130" s="63"/>
      <c r="AH130" s="63"/>
      <c r="AI130" s="8"/>
      <c r="AJ130" s="142"/>
      <c r="AK130" s="142"/>
      <c r="AL130" s="142"/>
      <c r="AM130" s="142"/>
      <c r="AN130" s="203">
        <v>11</v>
      </c>
    </row>
    <row r="131" spans="1:40" s="203" customFormat="1" ht="11.45" customHeight="1">
      <c r="A131" s="572"/>
      <c r="B131" s="572"/>
      <c r="C131" s="572"/>
      <c r="D131" s="572"/>
      <c r="E131" s="572"/>
      <c r="F131" s="68"/>
      <c r="G131" s="68"/>
      <c r="Q131" s="63"/>
      <c r="S131" s="63"/>
      <c r="T131" s="68"/>
      <c r="U131" s="68"/>
      <c r="V131" s="63"/>
      <c r="W131" s="63"/>
      <c r="X131" s="63"/>
      <c r="Y131" s="63"/>
      <c r="Z131" s="68"/>
      <c r="AA131" s="63"/>
      <c r="AB131" s="63"/>
      <c r="AC131" s="309"/>
      <c r="AD131" s="63"/>
      <c r="AE131" s="63"/>
      <c r="AF131" s="63"/>
      <c r="AG131" s="63"/>
      <c r="AH131" s="63"/>
      <c r="AI131" s="8"/>
      <c r="AJ131" s="142"/>
      <c r="AK131" s="142"/>
      <c r="AL131" s="142"/>
      <c r="AM131" s="142"/>
      <c r="AN131" s="203">
        <v>11</v>
      </c>
    </row>
    <row r="132" spans="1:40" s="203" customFormat="1" ht="11.45" customHeight="1">
      <c r="A132" s="572"/>
      <c r="B132" s="572"/>
      <c r="C132" s="572"/>
      <c r="D132" s="572"/>
      <c r="E132" s="572"/>
      <c r="F132" s="68"/>
      <c r="G132" s="68"/>
      <c r="Q132" s="63"/>
      <c r="S132" s="63"/>
      <c r="T132" s="68"/>
      <c r="U132" s="68"/>
      <c r="V132" s="63"/>
      <c r="W132" s="63"/>
      <c r="X132" s="63"/>
      <c r="Y132" s="63"/>
      <c r="Z132" s="68"/>
      <c r="AA132" s="63"/>
      <c r="AB132" s="63"/>
      <c r="AC132" s="309"/>
      <c r="AD132" s="63"/>
      <c r="AE132" s="63"/>
      <c r="AF132" s="63"/>
      <c r="AG132" s="63"/>
      <c r="AH132" s="63"/>
      <c r="AI132" s="8"/>
      <c r="AJ132" s="142"/>
      <c r="AK132" s="142"/>
      <c r="AL132" s="142"/>
      <c r="AM132" s="142"/>
      <c r="AN132" s="203">
        <v>11</v>
      </c>
    </row>
    <row r="133" spans="1:40" s="203" customFormat="1" ht="11.45" customHeight="1">
      <c r="A133" s="572"/>
      <c r="B133" s="572"/>
      <c r="C133" s="572"/>
      <c r="D133" s="572"/>
      <c r="E133" s="572"/>
      <c r="F133" s="68"/>
      <c r="G133" s="68"/>
      <c r="Q133" s="63"/>
      <c r="S133" s="63"/>
      <c r="T133" s="68"/>
      <c r="U133" s="68"/>
      <c r="V133" s="63"/>
      <c r="W133" s="63"/>
      <c r="X133" s="63"/>
      <c r="Y133" s="63"/>
      <c r="Z133" s="68"/>
      <c r="AA133" s="63"/>
      <c r="AB133" s="63"/>
      <c r="AC133" s="309"/>
      <c r="AD133" s="63"/>
      <c r="AE133" s="63"/>
      <c r="AF133" s="63"/>
      <c r="AG133" s="63"/>
      <c r="AH133" s="63"/>
      <c r="AI133" s="8"/>
      <c r="AJ133" s="142"/>
      <c r="AK133" s="142"/>
      <c r="AL133" s="142"/>
      <c r="AM133" s="142"/>
      <c r="AN133" s="203">
        <v>11</v>
      </c>
    </row>
    <row r="134" spans="1:40" s="203" customFormat="1" ht="11.45" customHeight="1">
      <c r="A134" s="572"/>
      <c r="B134" s="572"/>
      <c r="C134" s="572"/>
      <c r="D134" s="572"/>
      <c r="E134" s="572"/>
      <c r="F134" s="68"/>
      <c r="G134" s="68"/>
      <c r="Q134" s="63"/>
      <c r="S134" s="63"/>
      <c r="T134" s="68"/>
      <c r="U134" s="68"/>
      <c r="V134" s="63"/>
      <c r="W134" s="63"/>
      <c r="X134" s="63"/>
      <c r="Y134" s="63"/>
      <c r="Z134" s="68"/>
      <c r="AA134" s="63"/>
      <c r="AB134" s="63"/>
      <c r="AC134" s="309"/>
      <c r="AD134" s="63"/>
      <c r="AE134" s="63"/>
      <c r="AF134" s="63"/>
      <c r="AG134" s="63"/>
      <c r="AH134" s="63"/>
      <c r="AI134" s="8"/>
      <c r="AJ134" s="142"/>
      <c r="AK134" s="142"/>
      <c r="AL134" s="142"/>
      <c r="AM134" s="142"/>
      <c r="AN134" s="203">
        <v>11</v>
      </c>
    </row>
    <row r="135" spans="1:40" s="203" customFormat="1" ht="11.45" customHeight="1">
      <c r="A135" s="572"/>
      <c r="B135" s="572"/>
      <c r="C135" s="572"/>
      <c r="D135" s="572"/>
      <c r="E135" s="572"/>
      <c r="F135" s="68"/>
      <c r="G135" s="68"/>
      <c r="Q135" s="63"/>
      <c r="S135" s="63"/>
      <c r="T135" s="68"/>
      <c r="U135" s="68"/>
      <c r="V135" s="63"/>
      <c r="W135" s="63"/>
      <c r="X135" s="63"/>
      <c r="Y135" s="63"/>
      <c r="Z135" s="68"/>
      <c r="AA135" s="63"/>
      <c r="AB135" s="63"/>
      <c r="AC135" s="309"/>
      <c r="AD135" s="63"/>
      <c r="AE135" s="63"/>
      <c r="AF135" s="63"/>
      <c r="AG135" s="63"/>
      <c r="AH135" s="63"/>
      <c r="AI135" s="8"/>
      <c r="AJ135" s="142"/>
      <c r="AK135" s="142"/>
      <c r="AL135" s="142"/>
      <c r="AM135" s="142"/>
      <c r="AN135" s="203">
        <v>11</v>
      </c>
    </row>
    <row r="136" spans="1:40" s="203" customFormat="1" ht="11.45" customHeight="1">
      <c r="A136" s="572"/>
      <c r="B136" s="572"/>
      <c r="C136" s="572"/>
      <c r="D136" s="572"/>
      <c r="E136" s="572"/>
      <c r="F136" s="68"/>
      <c r="G136" s="68"/>
      <c r="Q136" s="63"/>
      <c r="S136" s="63"/>
      <c r="T136" s="68"/>
      <c r="U136" s="68"/>
      <c r="V136" s="63"/>
      <c r="W136" s="63"/>
      <c r="X136" s="63"/>
      <c r="Y136" s="63"/>
      <c r="Z136" s="68"/>
      <c r="AA136" s="63"/>
      <c r="AB136" s="63"/>
      <c r="AC136" s="309"/>
      <c r="AD136" s="63"/>
      <c r="AE136" s="63"/>
      <c r="AF136" s="63"/>
      <c r="AG136" s="63"/>
      <c r="AH136" s="63"/>
      <c r="AI136" s="8"/>
      <c r="AJ136" s="142"/>
      <c r="AK136" s="142"/>
      <c r="AL136" s="142"/>
      <c r="AM136" s="142"/>
      <c r="AN136" s="203">
        <v>11</v>
      </c>
    </row>
    <row r="137" spans="1:40" s="203" customFormat="1" ht="11.45" customHeight="1">
      <c r="A137" s="572"/>
      <c r="B137" s="572"/>
      <c r="C137" s="572"/>
      <c r="D137" s="572"/>
      <c r="E137" s="572"/>
      <c r="F137" s="68"/>
      <c r="G137" s="68"/>
      <c r="Q137" s="63"/>
      <c r="S137" s="63"/>
      <c r="T137" s="68"/>
      <c r="U137" s="68"/>
      <c r="V137" s="63"/>
      <c r="W137" s="63"/>
      <c r="X137" s="63"/>
      <c r="Y137" s="63"/>
      <c r="Z137" s="68"/>
      <c r="AA137" s="63"/>
      <c r="AB137" s="63"/>
      <c r="AC137" s="309"/>
      <c r="AD137" s="63"/>
      <c r="AE137" s="63"/>
      <c r="AF137" s="63"/>
      <c r="AG137" s="63"/>
      <c r="AH137" s="63"/>
      <c r="AI137" s="8"/>
      <c r="AJ137" s="142"/>
      <c r="AK137" s="142"/>
      <c r="AL137" s="142"/>
      <c r="AM137" s="142"/>
      <c r="AN137" s="203">
        <v>11</v>
      </c>
    </row>
    <row r="138" spans="1:40" s="203" customFormat="1" ht="11.45" customHeight="1">
      <c r="A138" s="572"/>
      <c r="B138" s="572"/>
      <c r="C138" s="572"/>
      <c r="D138" s="572"/>
      <c r="E138" s="572"/>
      <c r="F138" s="68"/>
      <c r="G138" s="68"/>
      <c r="Q138" s="63"/>
      <c r="S138" s="63"/>
      <c r="T138" s="68"/>
      <c r="U138" s="68"/>
      <c r="V138" s="63"/>
      <c r="W138" s="63"/>
      <c r="X138" s="63"/>
      <c r="Y138" s="63"/>
      <c r="Z138" s="68"/>
      <c r="AA138" s="63"/>
      <c r="AB138" s="63"/>
      <c r="AC138" s="309"/>
      <c r="AD138" s="63"/>
      <c r="AE138" s="63"/>
      <c r="AF138" s="63"/>
      <c r="AG138" s="63"/>
      <c r="AH138" s="63"/>
      <c r="AI138" s="8"/>
      <c r="AJ138" s="142"/>
      <c r="AK138" s="142"/>
      <c r="AL138" s="142"/>
      <c r="AM138" s="142"/>
      <c r="AN138" s="203">
        <v>11</v>
      </c>
    </row>
    <row r="139" spans="1:40" s="203" customFormat="1" ht="11.45" customHeight="1">
      <c r="A139" s="572"/>
      <c r="B139" s="572"/>
      <c r="C139" s="572"/>
      <c r="D139" s="572"/>
      <c r="E139" s="572"/>
      <c r="F139" s="68"/>
      <c r="G139" s="68"/>
      <c r="Q139" s="63"/>
      <c r="S139" s="63"/>
      <c r="T139" s="68"/>
      <c r="U139" s="68"/>
      <c r="V139" s="63"/>
      <c r="W139" s="63"/>
      <c r="X139" s="63"/>
      <c r="Y139" s="63"/>
      <c r="Z139" s="68"/>
      <c r="AA139" s="63"/>
      <c r="AB139" s="63"/>
      <c r="AC139" s="309"/>
      <c r="AD139" s="63"/>
      <c r="AE139" s="63"/>
      <c r="AF139" s="63"/>
      <c r="AG139" s="63"/>
      <c r="AH139" s="63"/>
      <c r="AI139" s="8"/>
      <c r="AJ139" s="142"/>
      <c r="AK139" s="142"/>
      <c r="AL139" s="142"/>
      <c r="AM139" s="142"/>
      <c r="AN139" s="203">
        <v>11</v>
      </c>
    </row>
    <row r="140" spans="1:40" s="203" customFormat="1" ht="11.45" customHeight="1">
      <c r="A140" s="572"/>
      <c r="B140" s="572"/>
      <c r="C140" s="572"/>
      <c r="D140" s="572"/>
      <c r="E140" s="572"/>
      <c r="F140" s="68"/>
      <c r="G140" s="68"/>
      <c r="Q140" s="63"/>
      <c r="S140" s="63"/>
      <c r="T140" s="68"/>
      <c r="U140" s="68"/>
      <c r="V140" s="63"/>
      <c r="W140" s="63"/>
      <c r="X140" s="63"/>
      <c r="Y140" s="63"/>
      <c r="Z140" s="68"/>
      <c r="AA140" s="63"/>
      <c r="AB140" s="63"/>
      <c r="AC140" s="309"/>
      <c r="AD140" s="63"/>
      <c r="AE140" s="63"/>
      <c r="AF140" s="63"/>
      <c r="AG140" s="63"/>
      <c r="AH140" s="63"/>
      <c r="AI140" s="8"/>
      <c r="AJ140" s="142"/>
      <c r="AK140" s="142"/>
      <c r="AL140" s="142"/>
      <c r="AM140" s="142"/>
      <c r="AN140" s="203">
        <v>11</v>
      </c>
    </row>
    <row r="141" spans="1:40" s="203" customFormat="1" ht="11.45" customHeight="1">
      <c r="A141" s="572"/>
      <c r="B141" s="572"/>
      <c r="C141" s="572"/>
      <c r="D141" s="572"/>
      <c r="E141" s="572"/>
      <c r="F141" s="68"/>
      <c r="G141" s="68"/>
      <c r="Q141" s="63"/>
      <c r="S141" s="63"/>
      <c r="T141" s="68"/>
      <c r="U141" s="68"/>
      <c r="V141" s="63"/>
      <c r="W141" s="63"/>
      <c r="X141" s="63"/>
      <c r="Y141" s="63"/>
      <c r="Z141" s="68"/>
      <c r="AA141" s="63"/>
      <c r="AB141" s="63"/>
      <c r="AC141" s="309"/>
      <c r="AD141" s="63"/>
      <c r="AE141" s="63"/>
      <c r="AF141" s="63"/>
      <c r="AG141" s="63"/>
      <c r="AH141" s="63"/>
      <c r="AI141" s="8"/>
      <c r="AJ141" s="142"/>
      <c r="AK141" s="142"/>
      <c r="AL141" s="142"/>
      <c r="AM141" s="142"/>
      <c r="AN141" s="203">
        <v>11</v>
      </c>
    </row>
    <row r="142" spans="1:40" s="203" customFormat="1" ht="11.45" customHeight="1">
      <c r="A142" s="572"/>
      <c r="B142" s="572"/>
      <c r="C142" s="572"/>
      <c r="D142" s="572"/>
      <c r="E142" s="572"/>
      <c r="F142" s="68"/>
      <c r="G142" s="68"/>
      <c r="Q142" s="63"/>
      <c r="S142" s="63"/>
      <c r="T142" s="68"/>
      <c r="U142" s="68"/>
      <c r="V142" s="63"/>
      <c r="W142" s="63"/>
      <c r="X142" s="63"/>
      <c r="Y142" s="63"/>
      <c r="Z142" s="68"/>
      <c r="AA142" s="63"/>
      <c r="AB142" s="63"/>
      <c r="AC142" s="309"/>
      <c r="AD142" s="63"/>
      <c r="AE142" s="63"/>
      <c r="AF142" s="63"/>
      <c r="AG142" s="63"/>
      <c r="AH142" s="63"/>
      <c r="AI142" s="8"/>
      <c r="AJ142" s="142"/>
      <c r="AK142" s="142"/>
      <c r="AL142" s="142"/>
      <c r="AM142" s="142"/>
      <c r="AN142" s="203">
        <v>11</v>
      </c>
    </row>
    <row r="143" spans="1:40" s="203" customFormat="1" ht="11.45" customHeight="1">
      <c r="A143" s="572"/>
      <c r="B143" s="572"/>
      <c r="C143" s="572"/>
      <c r="D143" s="572"/>
      <c r="E143" s="572"/>
      <c r="F143" s="68"/>
      <c r="G143" s="68"/>
      <c r="Q143" s="63"/>
      <c r="S143" s="63"/>
      <c r="T143" s="68"/>
      <c r="U143" s="68"/>
      <c r="V143" s="63"/>
      <c r="W143" s="63"/>
      <c r="X143" s="63"/>
      <c r="Y143" s="63"/>
      <c r="Z143" s="68"/>
      <c r="AA143" s="63"/>
      <c r="AB143" s="63"/>
      <c r="AC143" s="309"/>
      <c r="AD143" s="63"/>
      <c r="AE143" s="63"/>
      <c r="AF143" s="63"/>
      <c r="AG143" s="63"/>
      <c r="AH143" s="63"/>
      <c r="AI143" s="8"/>
      <c r="AJ143" s="142"/>
      <c r="AK143" s="142"/>
      <c r="AL143" s="142"/>
      <c r="AM143" s="142"/>
      <c r="AN143" s="203">
        <v>11</v>
      </c>
    </row>
    <row r="144" spans="1:40" s="203" customFormat="1" ht="11.45" customHeight="1">
      <c r="A144" s="572"/>
      <c r="B144" s="572"/>
      <c r="C144" s="572"/>
      <c r="D144" s="572"/>
      <c r="E144" s="572"/>
      <c r="F144" s="68"/>
      <c r="G144" s="68"/>
      <c r="Q144" s="63"/>
      <c r="S144" s="63"/>
      <c r="T144" s="68"/>
      <c r="U144" s="68"/>
      <c r="V144" s="63"/>
      <c r="W144" s="63"/>
      <c r="X144" s="63"/>
      <c r="Y144" s="63"/>
      <c r="Z144" s="68"/>
      <c r="AA144" s="63"/>
      <c r="AB144" s="63"/>
      <c r="AC144" s="309"/>
      <c r="AD144" s="63"/>
      <c r="AE144" s="63"/>
      <c r="AF144" s="63"/>
      <c r="AG144" s="63"/>
      <c r="AH144" s="63"/>
      <c r="AI144" s="8"/>
      <c r="AJ144" s="142"/>
      <c r="AK144" s="142"/>
      <c r="AL144" s="142"/>
      <c r="AM144" s="142"/>
      <c r="AN144" s="203">
        <v>11</v>
      </c>
    </row>
    <row r="145" spans="1:40" s="203" customFormat="1" ht="11.45" customHeight="1">
      <c r="A145" s="572"/>
      <c r="B145" s="572"/>
      <c r="C145" s="572"/>
      <c r="D145" s="572"/>
      <c r="E145" s="572"/>
      <c r="F145" s="68"/>
      <c r="G145" s="68"/>
      <c r="Q145" s="63"/>
      <c r="S145" s="63"/>
      <c r="T145" s="68"/>
      <c r="U145" s="68"/>
      <c r="V145" s="63"/>
      <c r="W145" s="63"/>
      <c r="X145" s="63"/>
      <c r="Y145" s="63"/>
      <c r="Z145" s="68"/>
      <c r="AA145" s="63"/>
      <c r="AB145" s="63"/>
      <c r="AC145" s="309"/>
      <c r="AD145" s="63"/>
      <c r="AE145" s="63"/>
      <c r="AF145" s="63"/>
      <c r="AG145" s="63"/>
      <c r="AH145" s="63"/>
      <c r="AI145" s="8"/>
      <c r="AJ145" s="142"/>
      <c r="AK145" s="142"/>
      <c r="AL145" s="142"/>
      <c r="AM145" s="142"/>
      <c r="AN145" s="203">
        <v>11</v>
      </c>
    </row>
    <row r="146" spans="1:40" s="203" customFormat="1" ht="11.45" customHeight="1">
      <c r="A146" s="572"/>
      <c r="B146" s="572"/>
      <c r="C146" s="572"/>
      <c r="D146" s="572"/>
      <c r="E146" s="572"/>
      <c r="F146" s="68"/>
      <c r="G146" s="68"/>
      <c r="Q146" s="63"/>
      <c r="S146" s="63"/>
      <c r="T146" s="68"/>
      <c r="U146" s="68"/>
      <c r="V146" s="63"/>
      <c r="W146" s="63"/>
      <c r="X146" s="63"/>
      <c r="Y146" s="63"/>
      <c r="Z146" s="68"/>
      <c r="AA146" s="63"/>
      <c r="AB146" s="63"/>
      <c r="AC146" s="309"/>
      <c r="AD146" s="63"/>
      <c r="AE146" s="63"/>
      <c r="AF146" s="63"/>
      <c r="AG146" s="63"/>
      <c r="AH146" s="63"/>
      <c r="AI146" s="8"/>
      <c r="AJ146" s="142"/>
      <c r="AK146" s="142"/>
      <c r="AL146" s="142"/>
      <c r="AM146" s="142"/>
      <c r="AN146" s="203">
        <v>11</v>
      </c>
    </row>
    <row r="147" spans="1:40" s="203" customFormat="1" ht="11.45" customHeight="1">
      <c r="A147" s="572"/>
      <c r="B147" s="572"/>
      <c r="C147" s="572"/>
      <c r="D147" s="572"/>
      <c r="E147" s="572"/>
      <c r="F147" s="68"/>
      <c r="G147" s="68"/>
      <c r="Q147" s="63"/>
      <c r="S147" s="63"/>
      <c r="T147" s="68"/>
      <c r="U147" s="68"/>
      <c r="V147" s="63"/>
      <c r="W147" s="63"/>
      <c r="X147" s="63"/>
      <c r="Y147" s="63"/>
      <c r="Z147" s="68"/>
      <c r="AA147" s="63"/>
      <c r="AB147" s="63"/>
      <c r="AC147" s="309"/>
      <c r="AD147" s="63"/>
      <c r="AE147" s="63"/>
      <c r="AF147" s="63"/>
      <c r="AG147" s="63"/>
      <c r="AH147" s="63"/>
      <c r="AI147" s="8"/>
      <c r="AJ147" s="142"/>
      <c r="AK147" s="142"/>
      <c r="AL147" s="142"/>
      <c r="AM147" s="142"/>
      <c r="AN147" s="203">
        <v>11</v>
      </c>
    </row>
    <row r="148" spans="1:40" s="203" customFormat="1" ht="11.45" customHeight="1">
      <c r="A148" s="572"/>
      <c r="B148" s="572"/>
      <c r="C148" s="572"/>
      <c r="D148" s="572"/>
      <c r="E148" s="572"/>
      <c r="F148" s="68"/>
      <c r="G148" s="68"/>
      <c r="Q148" s="63"/>
      <c r="S148" s="63"/>
      <c r="T148" s="68"/>
      <c r="U148" s="68"/>
      <c r="V148" s="63"/>
      <c r="W148" s="63"/>
      <c r="X148" s="63"/>
      <c r="Y148" s="63"/>
      <c r="Z148" s="68"/>
      <c r="AA148" s="63"/>
      <c r="AB148" s="63"/>
      <c r="AC148" s="309"/>
      <c r="AD148" s="63"/>
      <c r="AE148" s="63"/>
      <c r="AF148" s="63"/>
      <c r="AG148" s="63"/>
      <c r="AH148" s="63"/>
      <c r="AI148" s="8"/>
      <c r="AJ148" s="142"/>
      <c r="AK148" s="142"/>
      <c r="AL148" s="142"/>
      <c r="AM148" s="142"/>
      <c r="AN148" s="203">
        <v>11</v>
      </c>
    </row>
    <row r="149" spans="1:40" s="203" customFormat="1" ht="11.45" customHeight="1">
      <c r="A149" s="572"/>
      <c r="B149" s="572"/>
      <c r="C149" s="572"/>
      <c r="D149" s="572"/>
      <c r="E149" s="572"/>
      <c r="F149" s="68"/>
      <c r="G149" s="68"/>
      <c r="Q149" s="63"/>
      <c r="S149" s="63"/>
      <c r="T149" s="68"/>
      <c r="U149" s="68"/>
      <c r="V149" s="63"/>
      <c r="W149" s="63"/>
      <c r="X149" s="63"/>
      <c r="Y149" s="63"/>
      <c r="Z149" s="68"/>
      <c r="AA149" s="63"/>
      <c r="AB149" s="63"/>
      <c r="AC149" s="309"/>
      <c r="AD149" s="63"/>
      <c r="AE149" s="63"/>
      <c r="AF149" s="63"/>
      <c r="AG149" s="63"/>
      <c r="AH149" s="63"/>
      <c r="AI149" s="8"/>
      <c r="AJ149" s="142"/>
      <c r="AK149" s="142"/>
      <c r="AL149" s="142"/>
      <c r="AM149" s="142"/>
      <c r="AN149" s="203">
        <v>11</v>
      </c>
    </row>
    <row r="150" spans="1:40" s="203" customFormat="1" ht="11.45" customHeight="1">
      <c r="A150" s="572"/>
      <c r="B150" s="572"/>
      <c r="C150" s="572"/>
      <c r="D150" s="572"/>
      <c r="E150" s="572"/>
      <c r="F150" s="68"/>
      <c r="G150" s="68"/>
      <c r="Q150" s="63"/>
      <c r="S150" s="63"/>
      <c r="T150" s="68"/>
      <c r="U150" s="68"/>
      <c r="V150" s="63"/>
      <c r="W150" s="63"/>
      <c r="X150" s="63"/>
      <c r="Y150" s="63"/>
      <c r="Z150" s="68"/>
      <c r="AA150" s="63"/>
      <c r="AB150" s="63"/>
      <c r="AC150" s="309"/>
      <c r="AD150" s="63"/>
      <c r="AE150" s="63"/>
      <c r="AF150" s="63"/>
      <c r="AG150" s="63"/>
      <c r="AH150" s="63"/>
      <c r="AI150" s="8"/>
      <c r="AJ150" s="142"/>
      <c r="AK150" s="142"/>
      <c r="AL150" s="142"/>
      <c r="AM150" s="142"/>
      <c r="AN150" s="203">
        <v>11</v>
      </c>
    </row>
    <row r="151" spans="1:40" s="203" customFormat="1" ht="11.45" customHeight="1">
      <c r="A151" s="572"/>
      <c r="B151" s="572"/>
      <c r="C151" s="572"/>
      <c r="D151" s="572"/>
      <c r="E151" s="572"/>
      <c r="F151" s="68"/>
      <c r="G151" s="68"/>
      <c r="Q151" s="63"/>
      <c r="S151" s="63"/>
      <c r="T151" s="68"/>
      <c r="U151" s="68"/>
      <c r="V151" s="63"/>
      <c r="W151" s="63"/>
      <c r="X151" s="63"/>
      <c r="Y151" s="63"/>
      <c r="Z151" s="68"/>
      <c r="AA151" s="63"/>
      <c r="AB151" s="63"/>
      <c r="AC151" s="309"/>
      <c r="AD151" s="63"/>
      <c r="AE151" s="63"/>
      <c r="AF151" s="63"/>
      <c r="AG151" s="63"/>
      <c r="AH151" s="63"/>
      <c r="AI151" s="8"/>
      <c r="AJ151" s="142"/>
      <c r="AK151" s="142"/>
      <c r="AL151" s="142"/>
      <c r="AM151" s="142"/>
      <c r="AN151" s="203">
        <v>11</v>
      </c>
    </row>
    <row r="152" spans="1:40" s="203" customFormat="1" ht="11.45" customHeight="1">
      <c r="A152" s="572"/>
      <c r="B152" s="572"/>
      <c r="C152" s="572"/>
      <c r="D152" s="572"/>
      <c r="E152" s="572"/>
      <c r="F152" s="68"/>
      <c r="G152" s="68"/>
      <c r="Q152" s="63"/>
      <c r="S152" s="63"/>
      <c r="T152" s="68"/>
      <c r="U152" s="68"/>
      <c r="V152" s="63"/>
      <c r="W152" s="63"/>
      <c r="X152" s="63"/>
      <c r="Y152" s="63"/>
      <c r="Z152" s="68"/>
      <c r="AA152" s="63"/>
      <c r="AB152" s="63"/>
      <c r="AC152" s="309"/>
      <c r="AD152" s="63"/>
      <c r="AE152" s="63"/>
      <c r="AF152" s="63"/>
      <c r="AG152" s="63"/>
      <c r="AH152" s="63"/>
      <c r="AI152" s="8"/>
      <c r="AJ152" s="142"/>
      <c r="AK152" s="142"/>
      <c r="AL152" s="142"/>
      <c r="AM152" s="142"/>
      <c r="AN152" s="203">
        <v>11</v>
      </c>
    </row>
    <row r="153" spans="1:40" s="203" customFormat="1" ht="11.45" customHeight="1">
      <c r="A153" s="572"/>
      <c r="B153" s="572"/>
      <c r="C153" s="572"/>
      <c r="D153" s="572"/>
      <c r="E153" s="572"/>
      <c r="F153" s="68"/>
      <c r="G153" s="68"/>
      <c r="Q153" s="63"/>
      <c r="S153" s="63"/>
      <c r="T153" s="68"/>
      <c r="U153" s="68"/>
      <c r="V153" s="63"/>
      <c r="W153" s="63"/>
      <c r="X153" s="63"/>
      <c r="Y153" s="63"/>
      <c r="Z153" s="68"/>
      <c r="AA153" s="63"/>
      <c r="AB153" s="63"/>
      <c r="AC153" s="309"/>
      <c r="AD153" s="63"/>
      <c r="AE153" s="63"/>
      <c r="AF153" s="63"/>
      <c r="AG153" s="63"/>
      <c r="AH153" s="63"/>
      <c r="AI153" s="8"/>
      <c r="AJ153" s="142"/>
      <c r="AK153" s="142"/>
      <c r="AL153" s="142"/>
      <c r="AM153" s="142"/>
      <c r="AN153" s="203">
        <v>11</v>
      </c>
    </row>
    <row r="154" spans="1:40" s="203" customFormat="1" ht="11.45" customHeight="1">
      <c r="A154" s="572"/>
      <c r="B154" s="572"/>
      <c r="C154" s="572"/>
      <c r="D154" s="572"/>
      <c r="E154" s="572"/>
      <c r="F154" s="68"/>
      <c r="G154" s="68"/>
      <c r="Q154" s="63"/>
      <c r="S154" s="63"/>
      <c r="T154" s="68"/>
      <c r="U154" s="68"/>
      <c r="V154" s="63"/>
      <c r="W154" s="63"/>
      <c r="X154" s="63"/>
      <c r="Y154" s="63"/>
      <c r="Z154" s="68"/>
      <c r="AA154" s="63"/>
      <c r="AB154" s="63"/>
      <c r="AC154" s="309"/>
      <c r="AD154" s="63"/>
      <c r="AE154" s="63"/>
      <c r="AF154" s="63"/>
      <c r="AG154" s="63"/>
      <c r="AH154" s="63"/>
      <c r="AI154" s="8"/>
      <c r="AJ154" s="142"/>
      <c r="AK154" s="142"/>
      <c r="AL154" s="142"/>
      <c r="AM154" s="142"/>
      <c r="AN154" s="203">
        <v>11</v>
      </c>
    </row>
    <row r="155" spans="1:40" s="203" customFormat="1" ht="11.45" customHeight="1">
      <c r="A155" s="572"/>
      <c r="B155" s="572"/>
      <c r="C155" s="572"/>
      <c r="D155" s="572"/>
      <c r="E155" s="572"/>
      <c r="F155" s="68"/>
      <c r="G155" s="68"/>
      <c r="Q155" s="63"/>
      <c r="S155" s="63"/>
      <c r="T155" s="68"/>
      <c r="U155" s="68"/>
      <c r="V155" s="63"/>
      <c r="W155" s="63"/>
      <c r="X155" s="63"/>
      <c r="Y155" s="63"/>
      <c r="Z155" s="68"/>
      <c r="AA155" s="63"/>
      <c r="AB155" s="63"/>
      <c r="AC155" s="309"/>
      <c r="AD155" s="63"/>
      <c r="AE155" s="63"/>
      <c r="AF155" s="63"/>
      <c r="AG155" s="63"/>
      <c r="AH155" s="63"/>
      <c r="AI155" s="8"/>
      <c r="AJ155" s="142"/>
      <c r="AK155" s="142"/>
      <c r="AL155" s="142"/>
      <c r="AM155" s="142"/>
      <c r="AN155" s="203">
        <v>11</v>
      </c>
    </row>
    <row r="156" spans="1:40" s="203" customFormat="1" ht="11.45" customHeight="1">
      <c r="A156" s="572"/>
      <c r="B156" s="572"/>
      <c r="C156" s="572"/>
      <c r="D156" s="572"/>
      <c r="E156" s="572"/>
      <c r="F156" s="68"/>
      <c r="G156" s="68"/>
      <c r="Q156" s="63"/>
      <c r="S156" s="63"/>
      <c r="T156" s="68"/>
      <c r="U156" s="68"/>
      <c r="V156" s="63"/>
      <c r="W156" s="63"/>
      <c r="X156" s="63"/>
      <c r="Y156" s="63"/>
      <c r="Z156" s="68"/>
      <c r="AA156" s="63"/>
      <c r="AB156" s="63"/>
      <c r="AC156" s="309"/>
      <c r="AD156" s="63"/>
      <c r="AE156" s="63"/>
      <c r="AF156" s="63"/>
      <c r="AG156" s="63"/>
      <c r="AH156" s="63"/>
      <c r="AI156" s="8"/>
      <c r="AJ156" s="142"/>
      <c r="AK156" s="142"/>
      <c r="AL156" s="142"/>
      <c r="AM156" s="142"/>
      <c r="AN156" s="203">
        <v>11</v>
      </c>
    </row>
    <row r="157" spans="1:40" s="203" customFormat="1" ht="11.45" customHeight="1">
      <c r="A157" s="572"/>
      <c r="B157" s="572"/>
      <c r="C157" s="572"/>
      <c r="D157" s="572"/>
      <c r="E157" s="572"/>
      <c r="F157" s="68"/>
      <c r="G157" s="68"/>
      <c r="Q157" s="63"/>
      <c r="S157" s="63"/>
      <c r="T157" s="68"/>
      <c r="U157" s="68"/>
      <c r="V157" s="63"/>
      <c r="W157" s="63"/>
      <c r="X157" s="63"/>
      <c r="Y157" s="63"/>
      <c r="Z157" s="68"/>
      <c r="AA157" s="63"/>
      <c r="AB157" s="63"/>
      <c r="AC157" s="309"/>
      <c r="AD157" s="63"/>
      <c r="AE157" s="63"/>
      <c r="AF157" s="63"/>
      <c r="AG157" s="63"/>
      <c r="AH157" s="63"/>
      <c r="AI157" s="8"/>
      <c r="AJ157" s="142"/>
      <c r="AK157" s="142"/>
      <c r="AL157" s="142"/>
      <c r="AM157" s="142"/>
      <c r="AN157" s="203">
        <v>11</v>
      </c>
    </row>
    <row r="158" spans="1:40" s="203" customFormat="1" ht="11.45" customHeight="1">
      <c r="A158" s="572"/>
      <c r="B158" s="572"/>
      <c r="C158" s="572"/>
      <c r="D158" s="572"/>
      <c r="E158" s="572"/>
      <c r="F158" s="68"/>
      <c r="G158" s="68"/>
      <c r="Q158" s="63"/>
      <c r="S158" s="63"/>
      <c r="T158" s="68"/>
      <c r="U158" s="68"/>
      <c r="V158" s="63"/>
      <c r="W158" s="63"/>
      <c r="X158" s="63"/>
      <c r="Y158" s="63"/>
      <c r="Z158" s="68"/>
      <c r="AA158" s="63"/>
      <c r="AB158" s="63"/>
      <c r="AC158" s="309"/>
      <c r="AD158" s="63"/>
      <c r="AE158" s="63"/>
      <c r="AF158" s="63"/>
      <c r="AG158" s="63"/>
      <c r="AH158" s="63"/>
      <c r="AI158" s="8"/>
      <c r="AJ158" s="142"/>
      <c r="AK158" s="142"/>
      <c r="AL158" s="142"/>
      <c r="AM158" s="142"/>
      <c r="AN158" s="203">
        <v>11</v>
      </c>
    </row>
    <row r="159" spans="1:40" s="203" customFormat="1" ht="11.45" customHeight="1">
      <c r="A159" s="572"/>
      <c r="B159" s="572"/>
      <c r="C159" s="572"/>
      <c r="D159" s="572"/>
      <c r="E159" s="572"/>
      <c r="F159" s="68"/>
      <c r="G159" s="68"/>
      <c r="Q159" s="63"/>
      <c r="S159" s="63"/>
      <c r="T159" s="68"/>
      <c r="U159" s="68"/>
      <c r="V159" s="63"/>
      <c r="W159" s="63"/>
      <c r="X159" s="63"/>
      <c r="Y159" s="63"/>
      <c r="Z159" s="68"/>
      <c r="AA159" s="63"/>
      <c r="AB159" s="63"/>
      <c r="AC159" s="309"/>
      <c r="AD159" s="63"/>
      <c r="AE159" s="63"/>
      <c r="AF159" s="63"/>
      <c r="AG159" s="63"/>
      <c r="AH159" s="63"/>
      <c r="AI159" s="8"/>
      <c r="AJ159" s="142"/>
      <c r="AK159" s="142"/>
      <c r="AL159" s="142"/>
      <c r="AM159" s="142"/>
      <c r="AN159" s="203">
        <v>11</v>
      </c>
    </row>
    <row r="160" spans="1:40" s="203" customFormat="1" ht="11.45" customHeight="1">
      <c r="A160" s="572"/>
      <c r="B160" s="572"/>
      <c r="C160" s="572"/>
      <c r="D160" s="572"/>
      <c r="E160" s="572"/>
      <c r="F160" s="68"/>
      <c r="G160" s="68"/>
      <c r="Q160" s="63"/>
      <c r="S160" s="63"/>
      <c r="T160" s="68"/>
      <c r="U160" s="68"/>
      <c r="V160" s="63"/>
      <c r="W160" s="63"/>
      <c r="X160" s="63"/>
      <c r="Y160" s="63"/>
      <c r="Z160" s="68"/>
      <c r="AA160" s="63"/>
      <c r="AB160" s="63"/>
      <c r="AC160" s="309"/>
      <c r="AD160" s="63"/>
      <c r="AE160" s="63"/>
      <c r="AF160" s="63"/>
      <c r="AG160" s="63"/>
      <c r="AH160" s="63"/>
      <c r="AI160" s="8"/>
      <c r="AJ160" s="142"/>
      <c r="AK160" s="142"/>
      <c r="AL160" s="142"/>
      <c r="AM160" s="142"/>
      <c r="AN160" s="203">
        <v>11</v>
      </c>
    </row>
    <row r="161" spans="1:40" s="203" customFormat="1" ht="11.45" customHeight="1">
      <c r="A161" s="572"/>
      <c r="B161" s="572"/>
      <c r="C161" s="572"/>
      <c r="D161" s="572"/>
      <c r="E161" s="572"/>
      <c r="F161" s="68"/>
      <c r="G161" s="68"/>
      <c r="Q161" s="63"/>
      <c r="S161" s="63"/>
      <c r="T161" s="68"/>
      <c r="U161" s="68"/>
      <c r="V161" s="63"/>
      <c r="W161" s="63"/>
      <c r="X161" s="63"/>
      <c r="Y161" s="63"/>
      <c r="Z161" s="68"/>
      <c r="AA161" s="63"/>
      <c r="AB161" s="63"/>
      <c r="AC161" s="309"/>
      <c r="AD161" s="63"/>
      <c r="AE161" s="63"/>
      <c r="AF161" s="63"/>
      <c r="AG161" s="63"/>
      <c r="AH161" s="63"/>
      <c r="AI161" s="8"/>
      <c r="AJ161" s="142"/>
      <c r="AK161" s="142"/>
      <c r="AL161" s="142"/>
      <c r="AM161" s="142"/>
      <c r="AN161" s="203">
        <v>11</v>
      </c>
    </row>
    <row r="162" spans="1:40" s="203" customFormat="1" ht="11.45" customHeight="1">
      <c r="A162" s="572"/>
      <c r="B162" s="572"/>
      <c r="C162" s="572"/>
      <c r="D162" s="572"/>
      <c r="E162" s="572"/>
      <c r="F162" s="68"/>
      <c r="G162" s="68"/>
      <c r="Q162" s="63"/>
      <c r="S162" s="63"/>
      <c r="T162" s="68"/>
      <c r="U162" s="68"/>
      <c r="V162" s="63"/>
      <c r="W162" s="63"/>
      <c r="X162" s="63"/>
      <c r="Y162" s="63"/>
      <c r="Z162" s="68"/>
      <c r="AA162" s="63"/>
      <c r="AB162" s="63"/>
      <c r="AC162" s="309"/>
      <c r="AD162" s="63"/>
      <c r="AE162" s="63"/>
      <c r="AF162" s="63"/>
      <c r="AG162" s="63"/>
      <c r="AH162" s="63"/>
      <c r="AI162" s="8"/>
      <c r="AJ162" s="142"/>
      <c r="AK162" s="142"/>
      <c r="AL162" s="142"/>
      <c r="AM162" s="142"/>
      <c r="AN162" s="203">
        <v>11</v>
      </c>
    </row>
    <row r="163" spans="1:40" s="203" customFormat="1" ht="11.45" customHeight="1">
      <c r="A163" s="572"/>
      <c r="B163" s="572"/>
      <c r="C163" s="572"/>
      <c r="D163" s="572"/>
      <c r="E163" s="572"/>
      <c r="F163" s="68"/>
      <c r="G163" s="68"/>
      <c r="Q163" s="63"/>
      <c r="S163" s="63"/>
      <c r="T163" s="68"/>
      <c r="U163" s="68"/>
      <c r="V163" s="63"/>
      <c r="W163" s="63"/>
      <c r="X163" s="63"/>
      <c r="Y163" s="63"/>
      <c r="Z163" s="68"/>
      <c r="AA163" s="63"/>
      <c r="AB163" s="63"/>
      <c r="AC163" s="309"/>
      <c r="AD163" s="63"/>
      <c r="AE163" s="63"/>
      <c r="AF163" s="63"/>
      <c r="AG163" s="63"/>
      <c r="AH163" s="63"/>
      <c r="AI163" s="8"/>
      <c r="AJ163" s="142"/>
      <c r="AK163" s="142"/>
      <c r="AL163" s="142"/>
      <c r="AM163" s="142"/>
      <c r="AN163" s="203">
        <v>11</v>
      </c>
    </row>
    <row r="164" spans="1:40" s="203" customFormat="1" ht="11.45" customHeight="1">
      <c r="A164" s="572"/>
      <c r="B164" s="572"/>
      <c r="C164" s="572"/>
      <c r="D164" s="572"/>
      <c r="E164" s="572"/>
      <c r="F164" s="68"/>
      <c r="G164" s="68"/>
      <c r="Q164" s="63"/>
      <c r="S164" s="63"/>
      <c r="T164" s="68"/>
      <c r="U164" s="68"/>
      <c r="V164" s="63"/>
      <c r="W164" s="63"/>
      <c r="X164" s="63"/>
      <c r="Y164" s="63"/>
      <c r="Z164" s="68"/>
      <c r="AA164" s="63"/>
      <c r="AB164" s="63"/>
      <c r="AC164" s="309"/>
      <c r="AD164" s="63"/>
      <c r="AE164" s="63"/>
      <c r="AF164" s="63"/>
      <c r="AG164" s="63"/>
      <c r="AH164" s="63"/>
      <c r="AI164" s="8"/>
      <c r="AJ164" s="142"/>
      <c r="AK164" s="142"/>
      <c r="AL164" s="142"/>
      <c r="AM164" s="142"/>
      <c r="AN164" s="203">
        <v>11</v>
      </c>
    </row>
    <row r="165" spans="1:40" s="203" customFormat="1" ht="11.45" customHeight="1">
      <c r="A165" s="572"/>
      <c r="B165" s="572"/>
      <c r="C165" s="572"/>
      <c r="D165" s="572"/>
      <c r="E165" s="572"/>
      <c r="F165" s="68"/>
      <c r="G165" s="68"/>
      <c r="Q165" s="63"/>
      <c r="S165" s="63"/>
      <c r="T165" s="68"/>
      <c r="U165" s="68"/>
      <c r="V165" s="63"/>
      <c r="W165" s="63"/>
      <c r="X165" s="63"/>
      <c r="Y165" s="63"/>
      <c r="Z165" s="68"/>
      <c r="AA165" s="63"/>
      <c r="AB165" s="63"/>
      <c r="AC165" s="309"/>
      <c r="AD165" s="63"/>
      <c r="AE165" s="63"/>
      <c r="AF165" s="63"/>
      <c r="AG165" s="63"/>
      <c r="AH165" s="63"/>
      <c r="AI165" s="8"/>
      <c r="AJ165" s="142"/>
      <c r="AK165" s="142"/>
      <c r="AL165" s="142"/>
      <c r="AM165" s="142"/>
      <c r="AN165" s="203">
        <v>11</v>
      </c>
    </row>
    <row r="166" spans="1:40" s="203" customFormat="1" ht="11.45" customHeight="1">
      <c r="A166" s="572"/>
      <c r="B166" s="572"/>
      <c r="C166" s="572"/>
      <c r="D166" s="572"/>
      <c r="E166" s="572"/>
      <c r="F166" s="68"/>
      <c r="G166" s="68"/>
      <c r="Q166" s="63"/>
      <c r="S166" s="63"/>
      <c r="T166" s="68"/>
      <c r="U166" s="68"/>
      <c r="V166" s="63"/>
      <c r="W166" s="63"/>
      <c r="X166" s="63"/>
      <c r="Y166" s="63"/>
      <c r="Z166" s="68"/>
      <c r="AA166" s="63"/>
      <c r="AB166" s="63"/>
      <c r="AC166" s="309"/>
      <c r="AD166" s="63"/>
      <c r="AE166" s="63"/>
      <c r="AF166" s="63"/>
      <c r="AG166" s="63"/>
      <c r="AH166" s="63"/>
      <c r="AI166" s="8"/>
      <c r="AJ166" s="142"/>
      <c r="AK166" s="142"/>
      <c r="AL166" s="142"/>
      <c r="AM166" s="142"/>
      <c r="AN166" s="203">
        <v>11</v>
      </c>
    </row>
    <row r="167" spans="1:40" s="203" customFormat="1" ht="11.45" customHeight="1">
      <c r="A167" s="572"/>
      <c r="B167" s="572"/>
      <c r="C167" s="572"/>
      <c r="D167" s="572"/>
      <c r="E167" s="572"/>
      <c r="F167" s="68"/>
      <c r="G167" s="68"/>
      <c r="Q167" s="63"/>
      <c r="S167" s="63"/>
      <c r="T167" s="68"/>
      <c r="U167" s="68"/>
      <c r="V167" s="63"/>
      <c r="W167" s="63"/>
      <c r="X167" s="63"/>
      <c r="Y167" s="63"/>
      <c r="Z167" s="68"/>
      <c r="AA167" s="63"/>
      <c r="AB167" s="63"/>
      <c r="AC167" s="309"/>
      <c r="AD167" s="63"/>
      <c r="AE167" s="63"/>
      <c r="AF167" s="63"/>
      <c r="AG167" s="63"/>
      <c r="AH167" s="63"/>
      <c r="AI167" s="8"/>
      <c r="AJ167" s="142"/>
      <c r="AK167" s="142"/>
      <c r="AL167" s="142"/>
      <c r="AM167" s="142"/>
      <c r="AN167" s="203">
        <v>11</v>
      </c>
    </row>
    <row r="168" spans="1:40" s="203" customFormat="1" ht="11.45" customHeight="1">
      <c r="A168" s="572"/>
      <c r="B168" s="572"/>
      <c r="C168" s="572"/>
      <c r="D168" s="572"/>
      <c r="E168" s="572"/>
      <c r="F168" s="68"/>
      <c r="G168" s="68"/>
      <c r="Q168" s="63"/>
      <c r="S168" s="63"/>
      <c r="T168" s="68"/>
      <c r="U168" s="68"/>
      <c r="V168" s="63"/>
      <c r="W168" s="63"/>
      <c r="X168" s="63"/>
      <c r="Y168" s="63"/>
      <c r="Z168" s="68"/>
      <c r="AA168" s="63"/>
      <c r="AB168" s="63"/>
      <c r="AC168" s="309"/>
      <c r="AD168" s="63"/>
      <c r="AE168" s="63"/>
      <c r="AF168" s="63"/>
      <c r="AG168" s="63"/>
      <c r="AH168" s="63"/>
      <c r="AI168" s="8"/>
      <c r="AJ168" s="142"/>
      <c r="AK168" s="142"/>
      <c r="AL168" s="142"/>
      <c r="AM168" s="142"/>
      <c r="AN168" s="203">
        <v>11</v>
      </c>
    </row>
    <row r="169" spans="1:40" s="203" customFormat="1" ht="11.45" customHeight="1">
      <c r="A169" s="572"/>
      <c r="B169" s="572"/>
      <c r="C169" s="572"/>
      <c r="D169" s="572"/>
      <c r="E169" s="572"/>
      <c r="F169" s="68"/>
      <c r="G169" s="68"/>
      <c r="Q169" s="63"/>
      <c r="S169" s="63"/>
      <c r="T169" s="68"/>
      <c r="U169" s="68"/>
      <c r="V169" s="63"/>
      <c r="W169" s="63"/>
      <c r="X169" s="63"/>
      <c r="Y169" s="63"/>
      <c r="Z169" s="68"/>
      <c r="AA169" s="63"/>
      <c r="AB169" s="63"/>
      <c r="AC169" s="309"/>
      <c r="AD169" s="63"/>
      <c r="AE169" s="63"/>
      <c r="AF169" s="63"/>
      <c r="AG169" s="63"/>
      <c r="AH169" s="63"/>
      <c r="AI169" s="8"/>
      <c r="AJ169" s="142"/>
      <c r="AK169" s="142"/>
      <c r="AL169" s="142"/>
      <c r="AM169" s="142"/>
      <c r="AN169" s="203">
        <v>11</v>
      </c>
    </row>
    <row r="170" spans="1:40" s="203" customFormat="1" ht="11.45" customHeight="1">
      <c r="A170" s="572"/>
      <c r="B170" s="572"/>
      <c r="C170" s="572"/>
      <c r="D170" s="572"/>
      <c r="E170" s="572"/>
      <c r="F170" s="68"/>
      <c r="G170" s="68"/>
      <c r="Q170" s="63"/>
      <c r="S170" s="63"/>
      <c r="T170" s="68"/>
      <c r="U170" s="68"/>
      <c r="V170" s="63"/>
      <c r="W170" s="63"/>
      <c r="X170" s="63"/>
      <c r="Y170" s="63"/>
      <c r="Z170" s="68"/>
      <c r="AA170" s="63"/>
      <c r="AB170" s="63"/>
      <c r="AC170" s="309"/>
      <c r="AD170" s="63"/>
      <c r="AE170" s="63"/>
      <c r="AF170" s="63"/>
      <c r="AG170" s="63"/>
      <c r="AH170" s="63"/>
      <c r="AI170" s="8"/>
      <c r="AJ170" s="142"/>
      <c r="AK170" s="142"/>
      <c r="AL170" s="142"/>
      <c r="AM170" s="142"/>
      <c r="AN170" s="203">
        <v>11</v>
      </c>
    </row>
    <row r="171" spans="1:40" s="203" customFormat="1" ht="11.45" customHeight="1">
      <c r="A171" s="572"/>
      <c r="B171" s="572"/>
      <c r="C171" s="572"/>
      <c r="D171" s="572"/>
      <c r="E171" s="572"/>
      <c r="F171" s="68"/>
      <c r="G171" s="68"/>
      <c r="Q171" s="63"/>
      <c r="S171" s="63"/>
      <c r="T171" s="68"/>
      <c r="U171" s="68"/>
      <c r="V171" s="63"/>
      <c r="W171" s="63"/>
      <c r="X171" s="63"/>
      <c r="Y171" s="63"/>
      <c r="Z171" s="68"/>
      <c r="AA171" s="63"/>
      <c r="AB171" s="63"/>
      <c r="AC171" s="309"/>
      <c r="AD171" s="63"/>
      <c r="AE171" s="63"/>
      <c r="AF171" s="63"/>
      <c r="AG171" s="63"/>
      <c r="AH171" s="63"/>
      <c r="AI171" s="8"/>
      <c r="AJ171" s="142"/>
      <c r="AK171" s="142"/>
      <c r="AL171" s="142"/>
      <c r="AM171" s="142"/>
      <c r="AN171" s="203">
        <v>11</v>
      </c>
    </row>
    <row r="172" spans="1:40" s="203" customFormat="1" ht="11.45" customHeight="1">
      <c r="A172" s="572"/>
      <c r="B172" s="572"/>
      <c r="C172" s="572"/>
      <c r="D172" s="572"/>
      <c r="E172" s="572"/>
      <c r="F172" s="68"/>
      <c r="G172" s="68"/>
      <c r="Q172" s="63"/>
      <c r="S172" s="63"/>
      <c r="T172" s="68"/>
      <c r="U172" s="68"/>
      <c r="V172" s="63"/>
      <c r="W172" s="63"/>
      <c r="X172" s="63"/>
      <c r="Y172" s="63"/>
      <c r="Z172" s="68"/>
      <c r="AA172" s="63"/>
      <c r="AB172" s="63"/>
      <c r="AC172" s="309"/>
      <c r="AD172" s="63"/>
      <c r="AE172" s="63"/>
      <c r="AF172" s="63"/>
      <c r="AG172" s="63"/>
      <c r="AH172" s="63"/>
      <c r="AI172" s="8"/>
      <c r="AJ172" s="142"/>
      <c r="AK172" s="142"/>
      <c r="AL172" s="142"/>
      <c r="AM172" s="142"/>
      <c r="AN172" s="203">
        <v>11</v>
      </c>
    </row>
    <row r="173" spans="1:40" s="203" customFormat="1" ht="11.45" customHeight="1">
      <c r="A173" s="572"/>
      <c r="B173" s="572"/>
      <c r="C173" s="572"/>
      <c r="D173" s="572"/>
      <c r="E173" s="572"/>
      <c r="F173" s="68"/>
      <c r="G173" s="68"/>
      <c r="Q173" s="63"/>
      <c r="S173" s="63"/>
      <c r="T173" s="68"/>
      <c r="U173" s="68"/>
      <c r="V173" s="63"/>
      <c r="W173" s="63"/>
      <c r="X173" s="63"/>
      <c r="Y173" s="63"/>
      <c r="Z173" s="68"/>
      <c r="AA173" s="63"/>
      <c r="AB173" s="63"/>
      <c r="AC173" s="309"/>
      <c r="AD173" s="63"/>
      <c r="AE173" s="63"/>
      <c r="AF173" s="63"/>
      <c r="AG173" s="63"/>
      <c r="AH173" s="63"/>
      <c r="AI173" s="8"/>
      <c r="AJ173" s="142"/>
      <c r="AK173" s="142"/>
      <c r="AL173" s="142"/>
      <c r="AM173" s="142"/>
      <c r="AN173" s="203">
        <v>11</v>
      </c>
    </row>
    <row r="174" spans="1:40" s="203" customFormat="1" ht="11.45" customHeight="1">
      <c r="A174" s="572"/>
      <c r="B174" s="572"/>
      <c r="C174" s="572"/>
      <c r="D174" s="572"/>
      <c r="E174" s="572"/>
      <c r="F174" s="68"/>
      <c r="G174" s="68"/>
      <c r="Q174" s="63"/>
      <c r="S174" s="63"/>
      <c r="T174" s="68"/>
      <c r="U174" s="68"/>
      <c r="V174" s="63"/>
      <c r="W174" s="63"/>
      <c r="X174" s="63"/>
      <c r="Y174" s="63"/>
      <c r="Z174" s="68"/>
      <c r="AA174" s="63"/>
      <c r="AB174" s="63"/>
      <c r="AC174" s="309"/>
      <c r="AD174" s="63"/>
      <c r="AE174" s="63"/>
      <c r="AF174" s="63"/>
      <c r="AG174" s="63"/>
      <c r="AH174" s="63"/>
      <c r="AI174" s="8"/>
      <c r="AJ174" s="142"/>
      <c r="AK174" s="142"/>
      <c r="AL174" s="142"/>
      <c r="AM174" s="142"/>
      <c r="AN174" s="203">
        <v>11</v>
      </c>
    </row>
    <row r="175" spans="1:40" s="203" customFormat="1" ht="11.45" customHeight="1">
      <c r="A175" s="572"/>
      <c r="B175" s="572"/>
      <c r="C175" s="572"/>
      <c r="D175" s="572"/>
      <c r="E175" s="572"/>
      <c r="F175" s="68"/>
      <c r="G175" s="68"/>
      <c r="Q175" s="63"/>
      <c r="S175" s="63"/>
      <c r="T175" s="68"/>
      <c r="U175" s="68"/>
      <c r="V175" s="63"/>
      <c r="W175" s="63"/>
      <c r="X175" s="63"/>
      <c r="Y175" s="63"/>
      <c r="Z175" s="68"/>
      <c r="AA175" s="63"/>
      <c r="AB175" s="63"/>
      <c r="AC175" s="309"/>
      <c r="AD175" s="63"/>
      <c r="AE175" s="63"/>
      <c r="AF175" s="63"/>
      <c r="AG175" s="63"/>
      <c r="AH175" s="63"/>
      <c r="AI175" s="8"/>
      <c r="AJ175" s="142"/>
      <c r="AK175" s="142"/>
      <c r="AL175" s="142"/>
      <c r="AM175" s="142"/>
      <c r="AN175" s="203">
        <v>11</v>
      </c>
    </row>
    <row r="176" spans="1:40" s="203" customFormat="1" ht="11.45" customHeight="1">
      <c r="A176" s="572"/>
      <c r="B176" s="572"/>
      <c r="C176" s="572"/>
      <c r="D176" s="572"/>
      <c r="E176" s="572"/>
      <c r="F176" s="68"/>
      <c r="G176" s="68"/>
      <c r="Q176" s="63"/>
      <c r="S176" s="63"/>
      <c r="T176" s="68"/>
      <c r="U176" s="68"/>
      <c r="V176" s="63"/>
      <c r="W176" s="63"/>
      <c r="X176" s="63"/>
      <c r="Y176" s="63"/>
      <c r="Z176" s="68"/>
      <c r="AA176" s="63"/>
      <c r="AB176" s="63"/>
      <c r="AC176" s="309"/>
      <c r="AD176" s="63"/>
      <c r="AE176" s="63"/>
      <c r="AF176" s="63"/>
      <c r="AG176" s="63"/>
      <c r="AH176" s="63"/>
      <c r="AI176" s="8"/>
      <c r="AJ176" s="142"/>
      <c r="AK176" s="142"/>
      <c r="AL176" s="142"/>
      <c r="AM176" s="142"/>
      <c r="AN176" s="203">
        <v>11</v>
      </c>
    </row>
    <row r="177" spans="1:40" s="203" customFormat="1" ht="11.45" customHeight="1">
      <c r="A177" s="572"/>
      <c r="B177" s="572"/>
      <c r="C177" s="572"/>
      <c r="D177" s="572"/>
      <c r="E177" s="572"/>
      <c r="F177" s="68"/>
      <c r="G177" s="68"/>
      <c r="Q177" s="63"/>
      <c r="S177" s="63"/>
      <c r="T177" s="68"/>
      <c r="U177" s="68"/>
      <c r="V177" s="63"/>
      <c r="W177" s="63"/>
      <c r="X177" s="63"/>
      <c r="Y177" s="63"/>
      <c r="Z177" s="68"/>
      <c r="AA177" s="63"/>
      <c r="AB177" s="63"/>
      <c r="AC177" s="309"/>
      <c r="AD177" s="63"/>
      <c r="AE177" s="63"/>
      <c r="AF177" s="63"/>
      <c r="AG177" s="63"/>
      <c r="AH177" s="63"/>
      <c r="AI177" s="8"/>
      <c r="AJ177" s="142"/>
      <c r="AK177" s="142"/>
      <c r="AL177" s="142"/>
      <c r="AM177" s="142"/>
      <c r="AN177" s="203">
        <v>11</v>
      </c>
    </row>
    <row r="178" spans="1:40" s="203" customFormat="1" ht="11.45" customHeight="1">
      <c r="A178" s="572"/>
      <c r="B178" s="572"/>
      <c r="C178" s="572"/>
      <c r="D178" s="572"/>
      <c r="E178" s="572"/>
      <c r="F178" s="68"/>
      <c r="G178" s="68"/>
      <c r="Q178" s="63"/>
      <c r="S178" s="63"/>
      <c r="T178" s="68"/>
      <c r="U178" s="68"/>
      <c r="V178" s="63"/>
      <c r="W178" s="63"/>
      <c r="X178" s="63"/>
      <c r="Y178" s="63"/>
      <c r="Z178" s="68"/>
      <c r="AA178" s="63"/>
      <c r="AB178" s="63"/>
      <c r="AC178" s="309"/>
      <c r="AD178" s="63"/>
      <c r="AE178" s="63"/>
      <c r="AF178" s="63"/>
      <c r="AG178" s="63"/>
      <c r="AH178" s="63"/>
      <c r="AI178" s="8"/>
      <c r="AJ178" s="142"/>
      <c r="AK178" s="142"/>
      <c r="AL178" s="142"/>
      <c r="AM178" s="142"/>
      <c r="AN178" s="203">
        <v>11</v>
      </c>
    </row>
    <row r="179" spans="1:40" s="203" customFormat="1" ht="11.45" customHeight="1">
      <c r="A179" s="572"/>
      <c r="B179" s="572"/>
      <c r="C179" s="572"/>
      <c r="D179" s="572"/>
      <c r="E179" s="572"/>
      <c r="F179" s="68"/>
      <c r="G179" s="68"/>
      <c r="Q179" s="63"/>
      <c r="S179" s="63"/>
      <c r="T179" s="68"/>
      <c r="U179" s="68"/>
      <c r="V179" s="63"/>
      <c r="W179" s="63"/>
      <c r="X179" s="63"/>
      <c r="Y179" s="63"/>
      <c r="Z179" s="68"/>
      <c r="AA179" s="63"/>
      <c r="AB179" s="63"/>
      <c r="AC179" s="309"/>
      <c r="AD179" s="63"/>
      <c r="AE179" s="63"/>
      <c r="AF179" s="63"/>
      <c r="AG179" s="63"/>
      <c r="AH179" s="63"/>
      <c r="AI179" s="8"/>
      <c r="AJ179" s="142"/>
      <c r="AK179" s="142"/>
      <c r="AL179" s="142"/>
      <c r="AM179" s="142"/>
      <c r="AN179" s="203">
        <v>11</v>
      </c>
    </row>
    <row r="180" spans="1:40" s="203" customFormat="1" ht="11.45" customHeight="1">
      <c r="A180" s="572"/>
      <c r="B180" s="572"/>
      <c r="C180" s="572"/>
      <c r="D180" s="572"/>
      <c r="E180" s="572"/>
      <c r="F180" s="68"/>
      <c r="G180" s="68"/>
      <c r="Q180" s="63"/>
      <c r="S180" s="63"/>
      <c r="T180" s="68"/>
      <c r="U180" s="68"/>
      <c r="V180" s="63"/>
      <c r="W180" s="63"/>
      <c r="X180" s="63"/>
      <c r="Y180" s="63"/>
      <c r="Z180" s="68"/>
      <c r="AA180" s="63"/>
      <c r="AB180" s="63"/>
      <c r="AC180" s="309"/>
      <c r="AD180" s="63"/>
      <c r="AE180" s="63"/>
      <c r="AF180" s="63"/>
      <c r="AG180" s="63"/>
      <c r="AH180" s="63"/>
      <c r="AI180" s="8"/>
      <c r="AJ180" s="142"/>
      <c r="AK180" s="142"/>
      <c r="AL180" s="142"/>
      <c r="AM180" s="142"/>
      <c r="AN180" s="203">
        <v>11</v>
      </c>
    </row>
    <row r="181" spans="1:40" s="203" customFormat="1" ht="11.45" customHeight="1">
      <c r="A181" s="572"/>
      <c r="B181" s="572"/>
      <c r="C181" s="572"/>
      <c r="D181" s="572"/>
      <c r="E181" s="572"/>
      <c r="F181" s="68"/>
      <c r="G181" s="68"/>
      <c r="Q181" s="63"/>
      <c r="S181" s="63"/>
      <c r="T181" s="68"/>
      <c r="U181" s="68"/>
      <c r="V181" s="63"/>
      <c r="W181" s="63"/>
      <c r="X181" s="63"/>
      <c r="Y181" s="63"/>
      <c r="Z181" s="68"/>
      <c r="AA181" s="63"/>
      <c r="AB181" s="63"/>
      <c r="AC181" s="309"/>
      <c r="AD181" s="63"/>
      <c r="AE181" s="63"/>
      <c r="AF181" s="63"/>
      <c r="AG181" s="63"/>
      <c r="AH181" s="63"/>
      <c r="AI181" s="8"/>
      <c r="AJ181" s="142"/>
      <c r="AK181" s="142"/>
      <c r="AL181" s="142"/>
      <c r="AM181" s="142"/>
      <c r="AN181" s="203">
        <v>11</v>
      </c>
    </row>
    <row r="182" spans="1:40" s="203" customFormat="1" ht="11.45" customHeight="1">
      <c r="A182" s="572"/>
      <c r="B182" s="572"/>
      <c r="C182" s="572"/>
      <c r="D182" s="572"/>
      <c r="E182" s="572"/>
      <c r="F182" s="68"/>
      <c r="G182" s="68"/>
      <c r="Q182" s="63"/>
      <c r="S182" s="63"/>
      <c r="T182" s="68"/>
      <c r="U182" s="68"/>
      <c r="V182" s="63"/>
      <c r="W182" s="63"/>
      <c r="X182" s="63"/>
      <c r="Y182" s="63"/>
      <c r="Z182" s="68"/>
      <c r="AA182" s="63"/>
      <c r="AB182" s="63"/>
      <c r="AC182" s="309"/>
      <c r="AD182" s="63"/>
      <c r="AE182" s="63"/>
      <c r="AF182" s="63"/>
      <c r="AG182" s="63"/>
      <c r="AH182" s="63"/>
      <c r="AI182" s="8"/>
      <c r="AJ182" s="142"/>
      <c r="AK182" s="142"/>
      <c r="AL182" s="142"/>
      <c r="AM182" s="142"/>
      <c r="AN182" s="203">
        <v>11</v>
      </c>
    </row>
    <row r="183" spans="1:40" s="203" customFormat="1" ht="11.45" customHeight="1">
      <c r="A183" s="572"/>
      <c r="B183" s="572"/>
      <c r="C183" s="572"/>
      <c r="D183" s="572"/>
      <c r="E183" s="572"/>
      <c r="F183" s="68"/>
      <c r="G183" s="68"/>
      <c r="Q183" s="63"/>
      <c r="S183" s="63"/>
      <c r="T183" s="68"/>
      <c r="U183" s="68"/>
      <c r="V183" s="63"/>
      <c r="W183" s="63"/>
      <c r="X183" s="63"/>
      <c r="Y183" s="63"/>
      <c r="Z183" s="68"/>
      <c r="AA183" s="63"/>
      <c r="AB183" s="63"/>
      <c r="AC183" s="309"/>
      <c r="AD183" s="63"/>
      <c r="AE183" s="63"/>
      <c r="AF183" s="63"/>
      <c r="AG183" s="63"/>
      <c r="AH183" s="63"/>
      <c r="AI183" s="8"/>
      <c r="AJ183" s="142"/>
      <c r="AK183" s="142"/>
      <c r="AL183" s="142"/>
      <c r="AM183" s="142"/>
      <c r="AN183" s="203">
        <v>11</v>
      </c>
    </row>
    <row r="184" spans="1:40" s="203" customFormat="1" ht="11.45" customHeight="1">
      <c r="A184" s="572"/>
      <c r="B184" s="572"/>
      <c r="C184" s="572"/>
      <c r="D184" s="572"/>
      <c r="E184" s="572"/>
      <c r="F184" s="68"/>
      <c r="G184" s="68"/>
      <c r="Q184" s="63"/>
      <c r="S184" s="63"/>
      <c r="T184" s="68"/>
      <c r="U184" s="68"/>
      <c r="V184" s="63"/>
      <c r="W184" s="63"/>
      <c r="X184" s="63"/>
      <c r="Y184" s="63"/>
      <c r="Z184" s="68"/>
      <c r="AA184" s="63"/>
      <c r="AB184" s="63"/>
      <c r="AC184" s="309"/>
      <c r="AD184" s="63"/>
      <c r="AE184" s="63"/>
      <c r="AF184" s="63"/>
      <c r="AG184" s="63"/>
      <c r="AH184" s="63"/>
      <c r="AI184" s="8"/>
      <c r="AJ184" s="142"/>
      <c r="AK184" s="142"/>
      <c r="AL184" s="142"/>
      <c r="AM184" s="142"/>
      <c r="AN184" s="203">
        <v>11</v>
      </c>
    </row>
    <row r="185" spans="1:40" s="203" customFormat="1" ht="11.45" customHeight="1">
      <c r="A185" s="572"/>
      <c r="B185" s="572"/>
      <c r="C185" s="572"/>
      <c r="D185" s="572"/>
      <c r="E185" s="572"/>
      <c r="F185" s="68"/>
      <c r="G185" s="68"/>
      <c r="Q185" s="63"/>
      <c r="S185" s="63"/>
      <c r="T185" s="68"/>
      <c r="U185" s="68"/>
      <c r="V185" s="63"/>
      <c r="W185" s="63"/>
      <c r="X185" s="63"/>
      <c r="Y185" s="63"/>
      <c r="Z185" s="68"/>
      <c r="AA185" s="63"/>
      <c r="AB185" s="63"/>
      <c r="AC185" s="309"/>
      <c r="AD185" s="63"/>
      <c r="AE185" s="63"/>
      <c r="AF185" s="63"/>
      <c r="AG185" s="63"/>
      <c r="AH185" s="63"/>
      <c r="AI185" s="8"/>
      <c r="AJ185" s="142"/>
      <c r="AK185" s="142"/>
      <c r="AL185" s="142"/>
      <c r="AM185" s="142"/>
      <c r="AN185" s="203">
        <v>11</v>
      </c>
    </row>
    <row r="186" spans="1:40" s="203" customFormat="1" ht="11.45" customHeight="1">
      <c r="A186" s="572"/>
      <c r="B186" s="572"/>
      <c r="C186" s="572"/>
      <c r="D186" s="572"/>
      <c r="E186" s="572"/>
      <c r="F186" s="68"/>
      <c r="G186" s="68"/>
      <c r="Q186" s="63"/>
      <c r="S186" s="63"/>
      <c r="T186" s="68"/>
      <c r="U186" s="68"/>
      <c r="V186" s="63"/>
      <c r="W186" s="63"/>
      <c r="X186" s="63"/>
      <c r="Y186" s="63"/>
      <c r="Z186" s="68"/>
      <c r="AA186" s="63"/>
      <c r="AB186" s="63"/>
      <c r="AC186" s="309"/>
      <c r="AD186" s="63"/>
      <c r="AE186" s="63"/>
      <c r="AF186" s="63"/>
      <c r="AG186" s="63"/>
      <c r="AH186" s="63"/>
      <c r="AI186" s="8"/>
      <c r="AJ186" s="142"/>
      <c r="AK186" s="142"/>
      <c r="AL186" s="142"/>
      <c r="AM186" s="142"/>
      <c r="AN186" s="203">
        <v>11</v>
      </c>
    </row>
    <row r="187" spans="1:40" s="203" customFormat="1" ht="11.45" customHeight="1">
      <c r="A187" s="572"/>
      <c r="B187" s="572"/>
      <c r="C187" s="572"/>
      <c r="D187" s="572"/>
      <c r="E187" s="572"/>
      <c r="F187" s="68"/>
      <c r="G187" s="68"/>
      <c r="Q187" s="63"/>
      <c r="S187" s="63"/>
      <c r="T187" s="68"/>
      <c r="U187" s="68"/>
      <c r="V187" s="63"/>
      <c r="W187" s="63"/>
      <c r="X187" s="63"/>
      <c r="Y187" s="63"/>
      <c r="Z187" s="68"/>
      <c r="AA187" s="63"/>
      <c r="AB187" s="63"/>
      <c r="AC187" s="309"/>
      <c r="AD187" s="63"/>
      <c r="AE187" s="63"/>
      <c r="AF187" s="63"/>
      <c r="AG187" s="63"/>
      <c r="AH187" s="63"/>
      <c r="AI187" s="8"/>
      <c r="AJ187" s="142"/>
      <c r="AK187" s="142"/>
      <c r="AL187" s="142"/>
      <c r="AM187" s="142"/>
      <c r="AN187" s="203">
        <v>11</v>
      </c>
    </row>
    <row r="188" spans="1:40" s="203" customFormat="1" ht="11.45" customHeight="1">
      <c r="A188" s="572"/>
      <c r="B188" s="572"/>
      <c r="C188" s="572"/>
      <c r="D188" s="572"/>
      <c r="E188" s="572"/>
      <c r="F188" s="68"/>
      <c r="G188" s="68"/>
      <c r="Q188" s="63"/>
      <c r="S188" s="63"/>
      <c r="T188" s="68"/>
      <c r="U188" s="68"/>
      <c r="V188" s="63"/>
      <c r="W188" s="63"/>
      <c r="X188" s="63"/>
      <c r="Y188" s="63"/>
      <c r="Z188" s="68"/>
      <c r="AA188" s="63"/>
      <c r="AB188" s="63"/>
      <c r="AC188" s="309"/>
      <c r="AD188" s="63"/>
      <c r="AE188" s="63"/>
      <c r="AF188" s="63"/>
      <c r="AG188" s="63"/>
      <c r="AH188" s="63"/>
      <c r="AI188" s="8"/>
      <c r="AJ188" s="142"/>
      <c r="AK188" s="142"/>
      <c r="AL188" s="142"/>
      <c r="AM188" s="142"/>
      <c r="AN188" s="203">
        <v>11</v>
      </c>
    </row>
    <row r="189" spans="1:40" s="203" customFormat="1" ht="11.45" customHeight="1">
      <c r="A189" s="572"/>
      <c r="B189" s="572"/>
      <c r="C189" s="572"/>
      <c r="D189" s="572"/>
      <c r="E189" s="572"/>
      <c r="F189" s="68"/>
      <c r="G189" s="68"/>
      <c r="Q189" s="63"/>
      <c r="S189" s="63"/>
      <c r="T189" s="68"/>
      <c r="U189" s="68"/>
      <c r="V189" s="63"/>
      <c r="W189" s="63"/>
      <c r="X189" s="63"/>
      <c r="Y189" s="63"/>
      <c r="Z189" s="68"/>
      <c r="AA189" s="63"/>
      <c r="AB189" s="63"/>
      <c r="AC189" s="309"/>
      <c r="AD189" s="63"/>
      <c r="AE189" s="63"/>
      <c r="AF189" s="63"/>
      <c r="AG189" s="63"/>
      <c r="AH189" s="63"/>
      <c r="AI189" s="8"/>
      <c r="AJ189" s="142"/>
      <c r="AK189" s="142"/>
      <c r="AL189" s="142"/>
      <c r="AM189" s="142"/>
      <c r="AN189" s="203">
        <v>11</v>
      </c>
    </row>
    <row r="190" spans="1:40" ht="11.45" customHeight="1">
      <c r="AN190" s="11">
        <v>11</v>
      </c>
    </row>
    <row r="191" spans="1:40" ht="11.45" customHeight="1">
      <c r="AN191" s="11">
        <v>11</v>
      </c>
    </row>
    <row r="192" spans="1:40" ht="11.45" customHeight="1">
      <c r="AN192" s="11">
        <v>11</v>
      </c>
    </row>
    <row r="193" spans="1:40" ht="11.45" customHeight="1">
      <c r="A193" s="575"/>
      <c r="B193" s="575"/>
      <c r="C193" s="575"/>
      <c r="D193" s="575"/>
      <c r="E193" s="575"/>
      <c r="F193" s="11"/>
      <c r="Q193" s="11"/>
      <c r="S193" s="11"/>
      <c r="V193" s="11"/>
      <c r="W193" s="11"/>
      <c r="X193" s="11"/>
      <c r="Y193" s="11"/>
      <c r="AA193" s="11"/>
      <c r="AB193" s="11"/>
      <c r="AC193" s="11"/>
      <c r="AD193" s="11"/>
      <c r="AE193" s="11"/>
      <c r="AF193" s="11"/>
      <c r="AG193" s="11"/>
      <c r="AH193" s="11"/>
      <c r="AI193" s="11"/>
      <c r="AJ193" s="11"/>
      <c r="AK193" s="11"/>
      <c r="AL193" s="11"/>
      <c r="AM193" s="11"/>
      <c r="AN193" s="11">
        <v>11</v>
      </c>
    </row>
    <row r="194" spans="1:40" ht="11.45" customHeight="1">
      <c r="A194" s="575"/>
      <c r="B194" s="575"/>
      <c r="C194" s="575"/>
      <c r="D194" s="575"/>
      <c r="E194" s="575"/>
      <c r="F194" s="11"/>
      <c r="Q194" s="11"/>
      <c r="S194" s="11"/>
      <c r="V194" s="11"/>
      <c r="W194" s="11"/>
      <c r="X194" s="11"/>
      <c r="Y194" s="11"/>
      <c r="AA194" s="11"/>
      <c r="AB194" s="11"/>
      <c r="AC194" s="11"/>
      <c r="AD194" s="11"/>
      <c r="AE194" s="11"/>
      <c r="AF194" s="11"/>
      <c r="AG194" s="11"/>
      <c r="AH194" s="11"/>
      <c r="AI194" s="11"/>
      <c r="AJ194" s="11"/>
      <c r="AK194" s="11"/>
      <c r="AL194" s="11"/>
      <c r="AM194" s="11"/>
      <c r="AN194" s="11">
        <v>11</v>
      </c>
    </row>
    <row r="195" spans="1:40" ht="11.45" customHeight="1">
      <c r="A195" s="575"/>
      <c r="B195" s="575"/>
      <c r="C195" s="575"/>
      <c r="D195" s="575"/>
      <c r="E195" s="575"/>
      <c r="F195" s="11"/>
      <c r="Q195" s="11"/>
      <c r="S195" s="11"/>
      <c r="V195" s="11"/>
      <c r="W195" s="11"/>
      <c r="X195" s="11"/>
      <c r="Y195" s="11"/>
      <c r="AA195" s="11"/>
      <c r="AB195" s="11"/>
      <c r="AC195" s="11"/>
      <c r="AD195" s="11"/>
      <c r="AE195" s="11"/>
      <c r="AF195" s="11"/>
      <c r="AG195" s="11"/>
      <c r="AH195" s="11"/>
      <c r="AI195" s="11"/>
      <c r="AJ195" s="11"/>
      <c r="AK195" s="11"/>
      <c r="AL195" s="11"/>
      <c r="AM195" s="11"/>
      <c r="AN195" s="11">
        <v>11</v>
      </c>
    </row>
    <row r="196" spans="1:40" ht="11.45" customHeight="1">
      <c r="A196" s="575"/>
      <c r="B196" s="575"/>
      <c r="C196" s="575"/>
      <c r="D196" s="575"/>
      <c r="E196" s="575"/>
      <c r="F196" s="11"/>
      <c r="Q196" s="11"/>
      <c r="S196" s="11"/>
      <c r="V196" s="11"/>
      <c r="W196" s="11"/>
      <c r="X196" s="11"/>
      <c r="Y196" s="11"/>
      <c r="AA196" s="11"/>
      <c r="AB196" s="11"/>
      <c r="AC196" s="11"/>
      <c r="AD196" s="11"/>
      <c r="AE196" s="11"/>
      <c r="AF196" s="11"/>
      <c r="AG196" s="11"/>
      <c r="AH196" s="11"/>
      <c r="AI196" s="11"/>
      <c r="AJ196" s="11"/>
      <c r="AK196" s="11"/>
      <c r="AL196" s="11"/>
      <c r="AM196" s="11"/>
      <c r="AN196" s="11">
        <v>11</v>
      </c>
    </row>
    <row r="197" spans="1:40" ht="11.45" customHeight="1">
      <c r="A197" s="575"/>
      <c r="B197" s="575"/>
      <c r="C197" s="575"/>
      <c r="D197" s="575"/>
      <c r="E197" s="575"/>
      <c r="F197" s="11"/>
      <c r="Q197" s="11"/>
      <c r="S197" s="11"/>
      <c r="V197" s="11"/>
      <c r="W197" s="11"/>
      <c r="X197" s="11"/>
      <c r="Y197" s="11"/>
      <c r="AA197" s="11"/>
      <c r="AB197" s="11"/>
      <c r="AC197" s="11"/>
      <c r="AD197" s="11"/>
      <c r="AE197" s="11"/>
      <c r="AF197" s="11"/>
      <c r="AG197" s="11"/>
      <c r="AH197" s="11"/>
      <c r="AI197" s="11"/>
      <c r="AJ197" s="11"/>
      <c r="AK197" s="11"/>
      <c r="AL197" s="11"/>
      <c r="AM197" s="11"/>
      <c r="AN197" s="11">
        <v>11</v>
      </c>
    </row>
    <row r="198" spans="1:40" ht="11.45" customHeight="1">
      <c r="A198" s="575"/>
      <c r="B198" s="575"/>
      <c r="C198" s="575"/>
      <c r="D198" s="575"/>
      <c r="E198" s="575"/>
      <c r="F198" s="11"/>
      <c r="Q198" s="11"/>
      <c r="S198" s="11"/>
      <c r="V198" s="11"/>
      <c r="W198" s="11"/>
      <c r="X198" s="11"/>
      <c r="Y198" s="11"/>
      <c r="AA198" s="11"/>
      <c r="AB198" s="11"/>
      <c r="AC198" s="11"/>
      <c r="AD198" s="11"/>
      <c r="AE198" s="11"/>
      <c r="AF198" s="11"/>
      <c r="AG198" s="11"/>
      <c r="AH198" s="11"/>
      <c r="AI198" s="11"/>
      <c r="AJ198" s="11"/>
      <c r="AK198" s="11"/>
      <c r="AL198" s="11"/>
      <c r="AM198" s="11"/>
      <c r="AN198" s="11">
        <v>11</v>
      </c>
    </row>
    <row r="199" spans="1:40" ht="11.45" customHeight="1">
      <c r="A199" s="575"/>
      <c r="B199" s="575"/>
      <c r="C199" s="575"/>
      <c r="D199" s="575"/>
      <c r="E199" s="575"/>
      <c r="F199" s="11"/>
      <c r="Q199" s="11"/>
      <c r="S199" s="11"/>
      <c r="V199" s="11"/>
      <c r="W199" s="11"/>
      <c r="X199" s="11"/>
      <c r="Y199" s="11"/>
      <c r="AA199" s="11"/>
      <c r="AB199" s="11"/>
      <c r="AC199" s="11"/>
      <c r="AD199" s="11"/>
      <c r="AE199" s="11"/>
      <c r="AF199" s="11"/>
      <c r="AG199" s="11"/>
      <c r="AH199" s="11"/>
      <c r="AI199" s="11"/>
      <c r="AJ199" s="11"/>
      <c r="AK199" s="11"/>
      <c r="AL199" s="11"/>
      <c r="AM199" s="11"/>
      <c r="AN199" s="11">
        <v>11</v>
      </c>
    </row>
    <row r="200" spans="1:40" ht="11.45" customHeight="1">
      <c r="A200" s="575"/>
      <c r="B200" s="575"/>
      <c r="C200" s="575"/>
      <c r="D200" s="575"/>
      <c r="E200" s="575"/>
      <c r="F200" s="11"/>
      <c r="Q200" s="11"/>
      <c r="S200" s="11"/>
      <c r="V200" s="11"/>
      <c r="W200" s="11"/>
      <c r="X200" s="11"/>
      <c r="Y200" s="11"/>
      <c r="AA200" s="11"/>
      <c r="AB200" s="11"/>
      <c r="AC200" s="11"/>
      <c r="AD200" s="11"/>
      <c r="AE200" s="11"/>
      <c r="AF200" s="11"/>
      <c r="AG200" s="11"/>
      <c r="AH200" s="11"/>
      <c r="AI200" s="11"/>
      <c r="AJ200" s="11"/>
      <c r="AK200" s="11"/>
      <c r="AL200" s="11"/>
      <c r="AM200" s="11"/>
      <c r="AN200" s="11">
        <v>11</v>
      </c>
    </row>
    <row r="201" spans="1:40" ht="11.45" customHeight="1">
      <c r="A201" s="575"/>
      <c r="B201" s="575"/>
      <c r="C201" s="575"/>
      <c r="D201" s="575"/>
      <c r="E201" s="575"/>
      <c r="F201" s="11"/>
      <c r="Q201" s="11"/>
      <c r="S201" s="11"/>
      <c r="V201" s="11"/>
      <c r="W201" s="11"/>
      <c r="X201" s="11"/>
      <c r="Y201" s="11"/>
      <c r="AA201" s="11"/>
      <c r="AB201" s="11"/>
      <c r="AC201" s="11"/>
      <c r="AD201" s="11"/>
      <c r="AE201" s="11"/>
      <c r="AF201" s="11"/>
      <c r="AG201" s="11"/>
      <c r="AH201" s="11"/>
      <c r="AI201" s="11"/>
      <c r="AJ201" s="11"/>
      <c r="AK201" s="11"/>
      <c r="AL201" s="11"/>
      <c r="AM201" s="11"/>
      <c r="AN201" s="11">
        <v>11</v>
      </c>
    </row>
    <row r="202" spans="1:40" ht="11.45" customHeight="1">
      <c r="A202" s="575"/>
      <c r="B202" s="575"/>
      <c r="C202" s="575"/>
      <c r="D202" s="575"/>
      <c r="E202" s="575"/>
      <c r="F202" s="11"/>
      <c r="Q202" s="11"/>
      <c r="S202" s="11"/>
      <c r="V202" s="11"/>
      <c r="W202" s="11"/>
      <c r="X202" s="11"/>
      <c r="Y202" s="11"/>
      <c r="AA202" s="11"/>
      <c r="AB202" s="11"/>
      <c r="AC202" s="11"/>
      <c r="AD202" s="11"/>
      <c r="AE202" s="11"/>
      <c r="AF202" s="11"/>
      <c r="AG202" s="11"/>
      <c r="AH202" s="11"/>
      <c r="AI202" s="11"/>
      <c r="AJ202" s="11"/>
      <c r="AK202" s="11"/>
      <c r="AL202" s="11"/>
      <c r="AM202" s="11"/>
      <c r="AN202" s="11">
        <v>11</v>
      </c>
    </row>
    <row r="203" spans="1:40" ht="11.45" customHeight="1">
      <c r="A203" s="575"/>
      <c r="B203" s="575"/>
      <c r="C203" s="575"/>
      <c r="D203" s="575"/>
      <c r="E203" s="575"/>
      <c r="F203" s="11"/>
      <c r="Q203" s="11"/>
      <c r="S203" s="11"/>
      <c r="V203" s="11"/>
      <c r="W203" s="11"/>
      <c r="X203" s="11"/>
      <c r="Y203" s="11"/>
      <c r="AA203" s="11"/>
      <c r="AB203" s="11"/>
      <c r="AC203" s="11"/>
      <c r="AD203" s="11"/>
      <c r="AE203" s="11"/>
      <c r="AF203" s="11"/>
      <c r="AG203" s="11"/>
      <c r="AH203" s="11"/>
      <c r="AI203" s="11"/>
      <c r="AJ203" s="11"/>
      <c r="AK203" s="11"/>
      <c r="AL203" s="11"/>
      <c r="AM203" s="11"/>
      <c r="AN203" s="11">
        <v>11</v>
      </c>
    </row>
    <row r="204" spans="1:40" ht="12.75" hidden="1" customHeight="1">
      <c r="A204" s="572" t="s">
        <v>82</v>
      </c>
      <c r="B204" s="572" t="s">
        <v>157</v>
      </c>
      <c r="C204" s="572" t="s">
        <v>157</v>
      </c>
      <c r="D204" s="572" t="s">
        <v>157</v>
      </c>
      <c r="E204" s="572" t="s">
        <v>157</v>
      </c>
      <c r="F204" s="11">
        <v>16</v>
      </c>
      <c r="G204" s="68">
        <v>0</v>
      </c>
      <c r="H204" s="11">
        <v>3</v>
      </c>
      <c r="I204" s="11">
        <v>7</v>
      </c>
      <c r="J204" s="11">
        <v>56</v>
      </c>
      <c r="K204" s="11">
        <v>10</v>
      </c>
      <c r="L204" s="11">
        <v>40</v>
      </c>
      <c r="M204" s="11">
        <v>40</v>
      </c>
      <c r="N204" s="11">
        <v>40</v>
      </c>
      <c r="O204" s="11">
        <v>40</v>
      </c>
      <c r="P204" s="11">
        <v>40</v>
      </c>
      <c r="Q204" s="63">
        <v>9</v>
      </c>
      <c r="R204" s="11">
        <v>102</v>
      </c>
      <c r="S204" s="63">
        <v>9</v>
      </c>
      <c r="T204" s="68">
        <v>5</v>
      </c>
      <c r="U204" s="68">
        <v>3</v>
      </c>
      <c r="V204" s="63">
        <v>3</v>
      </c>
      <c r="W204" s="63">
        <v>3</v>
      </c>
      <c r="X204" s="63">
        <v>3</v>
      </c>
      <c r="Y204" s="63">
        <v>3</v>
      </c>
      <c r="Z204" s="68">
        <v>10</v>
      </c>
      <c r="AA204" s="63">
        <v>34</v>
      </c>
      <c r="AB204" s="63">
        <v>9</v>
      </c>
      <c r="AC204" s="309">
        <v>8</v>
      </c>
      <c r="AD204" s="63">
        <v>8</v>
      </c>
      <c r="AE204" s="63">
        <v>8</v>
      </c>
      <c r="AF204" s="63">
        <v>8</v>
      </c>
      <c r="AG204" s="63">
        <v>8</v>
      </c>
      <c r="AH204" s="63">
        <v>8</v>
      </c>
      <c r="AI204" s="8">
        <v>8</v>
      </c>
      <c r="AJ204" s="8">
        <v>8</v>
      </c>
      <c r="AK204" s="8">
        <v>8</v>
      </c>
      <c r="AL204" s="8">
        <v>8</v>
      </c>
      <c r="AM204" s="8">
        <v>8</v>
      </c>
      <c r="AN204" s="11">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decimal" allowBlank="1" showErrorMessage="1" errorTitle="Ошибка" error="Допускается ввод только неотрицательных чисел!" sqref="L32:P33 L19:P29 L16:P16 L2:P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xr:uid="{00000000-0002-0000-2200-000001000000}">
      <formula1>900</formula1>
    </dataValidation>
    <dataValidation type="whole" allowBlank="1" showErrorMessage="1" errorTitle="Ошибка" error="Допускается ввод только неотрицательных целых чисел!" sqref="L30:P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3" t="s">
        <v>704</v>
      </c>
      <c r="C2" s="1083" t="s">
        <v>705</v>
      </c>
      <c r="D2" s="1082" t="s">
        <v>644</v>
      </c>
      <c r="E2" s="1085">
        <f>I2-3</f>
        <v>-3</v>
      </c>
      <c r="F2" s="1085">
        <f>J2</f>
        <v>0</v>
      </c>
      <c r="H2" s="939" t="s">
        <v>122</v>
      </c>
      <c r="I2" s="64"/>
      <c r="J2" s="497"/>
      <c r="K2" s="399" t="s">
        <v>312</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74" t="s">
        <v>706</v>
      </c>
      <c r="J5" s="1274"/>
      <c r="K5" s="1274"/>
      <c r="L5" s="1274"/>
      <c r="M5" s="156"/>
      <c r="W5" s="11">
        <v>48</v>
      </c>
    </row>
    <row r="6" spans="1:23" ht="18" customHeight="1">
      <c r="H6" s="28"/>
      <c r="I6" s="1246" t="str">
        <f>IF(org=0,"Не определено",org)</f>
        <v>Сургутское городское муниципальное унитарное предприятие "Горводоканал"</v>
      </c>
      <c r="J6" s="1246"/>
      <c r="K6" s="1246"/>
      <c r="L6" s="1246"/>
      <c r="M6" s="156"/>
      <c r="W6" s="11">
        <v>17</v>
      </c>
    </row>
    <row r="7" spans="1:23" ht="14.65" customHeight="1">
      <c r="H7" s="28"/>
      <c r="I7" s="10"/>
      <c r="J7" s="14"/>
      <c r="K7" s="14"/>
      <c r="L7" s="435"/>
      <c r="M7" s="101"/>
      <c r="W7" s="11">
        <v>14</v>
      </c>
    </row>
    <row r="8" spans="1:23" ht="14.65" customHeight="1">
      <c r="H8" s="28"/>
      <c r="I8" s="1400" t="s">
        <v>306</v>
      </c>
      <c r="J8" s="1401"/>
      <c r="K8" s="1401"/>
      <c r="L8" s="1402"/>
      <c r="M8" s="1403" t="s">
        <v>307</v>
      </c>
      <c r="W8" s="11">
        <v>14</v>
      </c>
    </row>
    <row r="9" spans="1:23" ht="35.65" customHeight="1">
      <c r="E9" s="1081" t="s">
        <v>635</v>
      </c>
      <c r="F9" s="1081" t="s">
        <v>641</v>
      </c>
      <c r="H9" s="28"/>
      <c r="I9" s="36" t="s">
        <v>88</v>
      </c>
      <c r="J9" s="39" t="s">
        <v>308</v>
      </c>
      <c r="K9" s="239" t="s">
        <v>570</v>
      </c>
      <c r="L9" s="39" t="s">
        <v>309</v>
      </c>
      <c r="M9" s="1403"/>
      <c r="W9" s="11">
        <v>34</v>
      </c>
    </row>
    <row r="10" spans="1:23" ht="35.65" customHeight="1">
      <c r="B10" s="1083" t="s">
        <v>707</v>
      </c>
      <c r="C10" s="1083" t="s">
        <v>708</v>
      </c>
      <c r="D10" s="1082" t="s">
        <v>644</v>
      </c>
      <c r="E10" s="1085" t="s">
        <v>645</v>
      </c>
      <c r="F10" s="1085" t="s">
        <v>645</v>
      </c>
      <c r="H10" s="28"/>
      <c r="I10" s="64" t="s">
        <v>109</v>
      </c>
      <c r="J10" s="1014" t="s">
        <v>709</v>
      </c>
      <c r="K10" s="399" t="s">
        <v>312</v>
      </c>
      <c r="L10" s="228"/>
      <c r="M10" s="114" t="s">
        <v>710</v>
      </c>
      <c r="W10" s="11">
        <v>34</v>
      </c>
    </row>
    <row r="11" spans="1:23" ht="50.25" customHeight="1">
      <c r="B11" s="1083" t="s">
        <v>711</v>
      </c>
      <c r="C11" s="1083" t="s">
        <v>712</v>
      </c>
      <c r="D11" s="1082" t="s">
        <v>644</v>
      </c>
      <c r="E11" s="1085" t="s">
        <v>645</v>
      </c>
      <c r="F11" s="1085" t="s">
        <v>645</v>
      </c>
      <c r="H11" s="28"/>
      <c r="I11" s="64" t="s">
        <v>110</v>
      </c>
      <c r="J11" s="1014" t="s">
        <v>713</v>
      </c>
      <c r="K11" s="399" t="s">
        <v>312</v>
      </c>
      <c r="L11" s="228"/>
      <c r="M11" s="114" t="s">
        <v>710</v>
      </c>
      <c r="W11" s="11">
        <v>48</v>
      </c>
    </row>
    <row r="12" spans="1:23" ht="48.2" customHeight="1">
      <c r="B12" s="1083" t="s">
        <v>714</v>
      </c>
      <c r="C12" s="1083" t="s">
        <v>715</v>
      </c>
      <c r="D12" s="1082" t="s">
        <v>644</v>
      </c>
      <c r="E12" s="1085" t="s">
        <v>645</v>
      </c>
      <c r="F12" s="1085" t="s">
        <v>645</v>
      </c>
      <c r="H12" s="23"/>
      <c r="I12" s="64" t="s">
        <v>90</v>
      </c>
      <c r="J12" s="123" t="s">
        <v>716</v>
      </c>
      <c r="K12" s="399" t="s">
        <v>312</v>
      </c>
      <c r="L12" s="228"/>
      <c r="M12" s="114" t="s">
        <v>717</v>
      </c>
      <c r="N12" s="69"/>
      <c r="P12" s="11"/>
      <c r="W12" s="11">
        <v>46</v>
      </c>
    </row>
    <row r="13" spans="1:23" ht="14.65" customHeight="1">
      <c r="E13" s="34"/>
      <c r="H13" s="28"/>
      <c r="I13" s="40"/>
      <c r="J13" s="52" t="s">
        <v>718</v>
      </c>
      <c r="K13" s="111"/>
      <c r="L13" s="108"/>
      <c r="M13" s="114"/>
      <c r="W13" s="11">
        <v>14</v>
      </c>
    </row>
    <row r="14" spans="1:23" ht="14.65" customHeight="1">
      <c r="E14" s="34"/>
      <c r="H14" s="28"/>
      <c r="I14" s="225"/>
      <c r="J14" s="902"/>
      <c r="K14" s="903"/>
      <c r="L14" s="904"/>
      <c r="M14" s="373"/>
      <c r="W14" s="11">
        <v>14</v>
      </c>
    </row>
    <row r="15" spans="1:23" ht="14.65" customHeight="1">
      <c r="I15" s="198"/>
      <c r="J15" s="1292"/>
      <c r="K15" s="1292"/>
      <c r="L15" s="1292"/>
      <c r="M15" s="1292"/>
      <c r="W15" s="11">
        <v>14</v>
      </c>
    </row>
    <row r="16" spans="1:23" ht="21" hidden="1" customHeight="1">
      <c r="A16" s="33" t="s">
        <v>82</v>
      </c>
      <c r="B16" s="11">
        <v>9</v>
      </c>
      <c r="C16" s="11">
        <v>9</v>
      </c>
      <c r="D16" s="11">
        <v>9</v>
      </c>
      <c r="E16" s="33" t="s">
        <v>156</v>
      </c>
      <c r="F16" s="33" t="s">
        <v>156</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I219"/>
  <sheetViews>
    <sheetView showGridLines="0" topLeftCell="D5" zoomScale="90" workbookViewId="0">
      <selection activeCell="L9" sqref="L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2" width="40.7109375" style="11" customWidth="1"/>
    <col min="13" max="13" width="102" style="11" customWidth="1"/>
    <col min="14" max="14" width="9" style="63" customWidth="1"/>
    <col min="15" max="15" width="5" style="68" customWidth="1"/>
    <col min="16" max="16" width="3" style="68" customWidth="1"/>
    <col min="17" max="20" width="3" style="63" customWidth="1"/>
    <col min="21" max="21" width="10" style="68" customWidth="1"/>
    <col min="22" max="22" width="34" style="63" customWidth="1"/>
    <col min="23" max="23" width="9" style="63" customWidth="1"/>
    <col min="24" max="24" width="8" style="309" customWidth="1"/>
    <col min="25" max="29" width="8" style="63" customWidth="1"/>
    <col min="30" max="34" width="8" style="8" customWidth="1"/>
    <col min="35" max="35" width="10.42578125" style="11" hidden="1" customWidth="1"/>
  </cols>
  <sheetData>
    <row r="1" spans="1:35" s="63" customFormat="1" ht="22.5" hidden="1" customHeight="1">
      <c r="A1" s="572"/>
      <c r="C1" s="68"/>
      <c r="H1" s="63">
        <v>4</v>
      </c>
      <c r="I1" s="63">
        <v>4</v>
      </c>
      <c r="J1" s="63">
        <v>4</v>
      </c>
      <c r="K1" s="63">
        <v>4</v>
      </c>
      <c r="L1" s="63">
        <v>4</v>
      </c>
      <c r="O1" s="68"/>
      <c r="P1" s="68"/>
      <c r="U1" s="68"/>
      <c r="AI1" s="63" t="s">
        <v>14</v>
      </c>
    </row>
    <row r="2" spans="1:35" s="63" customFormat="1" ht="22.5" hidden="1" customHeight="1">
      <c r="A2" s="572"/>
      <c r="C2" s="68"/>
      <c r="D2" s="304"/>
      <c r="E2" s="41"/>
      <c r="F2" s="305"/>
      <c r="G2" s="41" t="s">
        <v>556</v>
      </c>
      <c r="H2" s="306"/>
      <c r="I2" s="306"/>
      <c r="J2" s="306"/>
      <c r="K2" s="306"/>
      <c r="L2" s="306"/>
      <c r="M2" s="307" t="s">
        <v>719</v>
      </c>
      <c r="N2" s="308"/>
      <c r="O2" s="68"/>
      <c r="P2" s="68"/>
      <c r="U2" s="68"/>
      <c r="X2" s="309"/>
      <c r="AD2" s="8"/>
      <c r="AE2" s="8"/>
      <c r="AF2" s="8"/>
      <c r="AG2" s="8"/>
      <c r="AH2" s="8"/>
      <c r="AI2" s="63">
        <v>0</v>
      </c>
    </row>
    <row r="3" spans="1:35" ht="11.25" hidden="1" customHeight="1">
      <c r="AI3" s="11">
        <v>0</v>
      </c>
    </row>
    <row r="4" spans="1:35" s="8" customFormat="1" ht="11.25" hidden="1" customHeight="1">
      <c r="A4" s="572"/>
      <c r="B4" s="63"/>
      <c r="C4" s="68"/>
      <c r="M4" s="8">
        <v>4</v>
      </c>
      <c r="N4" s="63"/>
      <c r="O4" s="68"/>
      <c r="P4" s="68"/>
      <c r="Q4" s="63"/>
      <c r="R4" s="63"/>
      <c r="S4" s="63"/>
      <c r="T4" s="63"/>
      <c r="U4" s="68"/>
      <c r="V4" s="63"/>
      <c r="W4" s="63"/>
      <c r="X4" s="309"/>
      <c r="Y4" s="63"/>
      <c r="Z4" s="63"/>
      <c r="AA4" s="63"/>
      <c r="AB4" s="63"/>
      <c r="AC4" s="63"/>
      <c r="AI4" s="8">
        <v>0</v>
      </c>
    </row>
    <row r="5" spans="1:35" ht="11.45" customHeight="1">
      <c r="AI5" s="11">
        <v>11</v>
      </c>
    </row>
    <row r="6" spans="1:35" ht="31.5" customHeight="1">
      <c r="E6" s="1223" t="s">
        <v>720</v>
      </c>
      <c r="F6" s="1223"/>
      <c r="G6" s="1223"/>
      <c r="H6" s="1223"/>
      <c r="I6" s="1223"/>
      <c r="J6" s="1104"/>
      <c r="K6" s="1104"/>
      <c r="L6" s="1104"/>
      <c r="M6" s="59"/>
      <c r="AI6" s="11">
        <v>30</v>
      </c>
    </row>
    <row r="7" spans="1:35" ht="11.45" customHeight="1">
      <c r="E7" s="1246" t="str">
        <f>IF(org=0,"Не определено",org)</f>
        <v>Сургутское городское муниципальное унитарное предприятие "Горводоканал"</v>
      </c>
      <c r="F7" s="1246"/>
      <c r="G7" s="1246"/>
      <c r="H7" s="1246"/>
      <c r="I7" s="1246"/>
      <c r="J7" s="1103"/>
      <c r="K7" s="1103"/>
      <c r="L7" s="1103"/>
      <c r="AI7" s="11">
        <v>11</v>
      </c>
    </row>
    <row r="8" spans="1:35" ht="11.45" customHeight="1">
      <c r="E8" s="668"/>
      <c r="F8" s="668"/>
      <c r="G8" s="668"/>
      <c r="H8" s="668"/>
      <c r="I8" s="668"/>
      <c r="J8" s="668" t="s">
        <v>22</v>
      </c>
      <c r="K8" s="668" t="s">
        <v>22</v>
      </c>
      <c r="L8" s="668" t="s">
        <v>22</v>
      </c>
      <c r="AI8" s="11">
        <v>11</v>
      </c>
    </row>
    <row r="9" spans="1:35" s="68" customFormat="1" ht="4.1500000000000004" customHeight="1">
      <c r="A9" s="313"/>
      <c r="H9" s="514"/>
      <c r="I9" s="514" t="s">
        <v>117</v>
      </c>
      <c r="J9" s="514" t="s">
        <v>123</v>
      </c>
      <c r="K9" s="514" t="s">
        <v>125</v>
      </c>
      <c r="L9" s="514" t="s">
        <v>127</v>
      </c>
      <c r="AI9" s="68">
        <v>4</v>
      </c>
    </row>
    <row r="10" spans="1:35" ht="11.45" customHeight="1">
      <c r="E10" s="409"/>
      <c r="F10" s="1383" t="s">
        <v>105</v>
      </c>
      <c r="G10" s="1384"/>
      <c r="H10" s="858" t="str">
        <f>IF(H9="","",INDEX(DIFFERENTIATION_UNMERGE_VD,MATCH(H9,DIFFERENTIATION_ID_DIFF,0)))</f>
        <v/>
      </c>
      <c r="I10" s="858" t="str">
        <f>IF(I9="","",INDEX(DIFFERENTIATION_UNMERGE_VD,MATCH(I9,DIFFERENTIATION_ID_DIFF,0)))</f>
        <v>Холодное водоснабжение. Питьевая вода</v>
      </c>
      <c r="J10" s="858" t="str">
        <f>IF(J9="","",INDEX(DIFFERENTIATION_UNMERGE_VD,MATCH(J9,DIFFERENTIATION_ID_DIFF,0)))</f>
        <v>Транспортировка. Питьевая вода</v>
      </c>
      <c r="K10" s="858" t="str">
        <f>IF(K9="","",INDEX(DIFFERENTIATION_UNMERGE_VD,MATCH(K9,DIFFERENTIATION_ID_DIFF,0)))</f>
        <v>Подключение (технологическое присоединение) к централизованной системе водоснабжения</v>
      </c>
      <c r="L10" s="858" t="str">
        <f>IF(L9="","",INDEX(DIFFERENTIATION_UNMERGE_VD,MATCH(L9,DIFFERENTIATION_ID_DIFF,0)))</f>
        <v>Холодное водоснабжение. Подвозная вода</v>
      </c>
      <c r="M10" s="1159" t="s">
        <v>307</v>
      </c>
      <c r="AI10" s="11">
        <v>11</v>
      </c>
    </row>
    <row r="11" spans="1:35" ht="11.45" customHeight="1">
      <c r="E11" s="409"/>
      <c r="F11" s="1383" t="s">
        <v>568</v>
      </c>
      <c r="G11" s="1384"/>
      <c r="H11" s="858" t="str">
        <f>IF(H9="","",INDEX(DIFFERENTIATION_UNMERGE_AREA,MATCH(H9,DIFFERENTIATION_ID_DIFF,0)))</f>
        <v/>
      </c>
      <c r="I11" s="858" t="str">
        <f>IF(I9="","",INDEX(DIFFERENTIATION_UNMERGE_AREA,MATCH(I9,DIFFERENTIATION_ID_DIFF,0)))</f>
        <v>без дифференциации</v>
      </c>
      <c r="J11" s="858" t="str">
        <f>IF(J9="","",INDEX(DIFFERENTIATION_UNMERGE_AREA,MATCH(J9,DIFFERENTIATION_ID_DIFF,0)))</f>
        <v>без дифференциации</v>
      </c>
      <c r="K11" s="858" t="str">
        <f>IF(K9="","",INDEX(DIFFERENTIATION_UNMERGE_AREA,MATCH(K9,DIFFERENTIATION_ID_DIFF,0)))</f>
        <v>без дифференциации</v>
      </c>
      <c r="L11" s="858" t="str">
        <f>IF(L9="","",INDEX(DIFFERENTIATION_UNMERGE_AREA,MATCH(L9,DIFFERENTIATION_ID_DIFF,0)))</f>
        <v>без дифференциации</v>
      </c>
      <c r="M11" s="1159"/>
      <c r="AI11" s="11">
        <v>11</v>
      </c>
    </row>
    <row r="12" spans="1:35" ht="1.1499999999999999" customHeight="1">
      <c r="E12" s="896"/>
      <c r="F12" s="1404" t="s">
        <v>569</v>
      </c>
      <c r="G12" s="1405"/>
      <c r="H12" s="897" t="str">
        <f>IF(H9="","",INDEX(DIFFERENTIATION_UNMERGE_SYSTEM,MATCH(H9,DIFFERENTIATION_ID_DIFF,0)))</f>
        <v/>
      </c>
      <c r="I12" s="897" t="str">
        <f>IF(I9="","",INDEX(DIFFERENTIATION_UNMERGE_SYSTEM,MATCH(I9,DIFFERENTIATION_ID_DIFF,0)))</f>
        <v>без дифференциации</v>
      </c>
      <c r="J12" s="897" t="str">
        <f>IF(J9="","",INDEX(DIFFERENTIATION_UNMERGE_SYSTEM,MATCH(J9,DIFFERENTIATION_ID_DIFF,0)))</f>
        <v>без дифференциации</v>
      </c>
      <c r="K12" s="897" t="str">
        <f>IF(K9="","",INDEX(DIFFERENTIATION_UNMERGE_SYSTEM,MATCH(K9,DIFFERENTIATION_ID_DIFF,0)))</f>
        <v>без дифференциации</v>
      </c>
      <c r="L12" s="897" t="str">
        <f>IF(L9="","",INDEX(DIFFERENTIATION_UNMERGE_SYSTEM,MATCH(L9,DIFFERENTIATION_ID_DIFF,0)))</f>
        <v>без дифференциации</v>
      </c>
      <c r="M12" s="1159"/>
      <c r="AI12" s="11">
        <v>1</v>
      </c>
    </row>
    <row r="13" spans="1:35" ht="11.45" customHeight="1">
      <c r="E13" s="1385" t="s">
        <v>306</v>
      </c>
      <c r="F13" s="1386"/>
      <c r="G13" s="1386"/>
      <c r="H13" s="512"/>
      <c r="I13" s="512"/>
      <c r="J13" s="512"/>
      <c r="K13" s="512"/>
      <c r="L13" s="512"/>
      <c r="M13" s="1159"/>
      <c r="AI13" s="11">
        <v>11</v>
      </c>
    </row>
    <row r="14" spans="1:35" ht="24" customHeight="1">
      <c r="E14" s="41" t="s">
        <v>88</v>
      </c>
      <c r="F14" s="41" t="s">
        <v>308</v>
      </c>
      <c r="G14" s="41" t="s">
        <v>570</v>
      </c>
      <c r="H14" s="41" t="s">
        <v>309</v>
      </c>
      <c r="I14" s="41" t="s">
        <v>309</v>
      </c>
      <c r="J14" s="41" t="s">
        <v>309</v>
      </c>
      <c r="K14" s="41" t="s">
        <v>309</v>
      </c>
      <c r="L14" s="41" t="s">
        <v>309</v>
      </c>
      <c r="M14" s="1159"/>
      <c r="AI14" s="11">
        <v>23</v>
      </c>
    </row>
    <row r="15" spans="1:35" ht="19.899999999999999" customHeight="1">
      <c r="D15" s="55"/>
      <c r="E15" s="894" t="s">
        <v>109</v>
      </c>
      <c r="F15" s="153" t="s">
        <v>721</v>
      </c>
      <c r="G15" s="41" t="s">
        <v>556</v>
      </c>
      <c r="H15" s="321"/>
      <c r="I15" s="321"/>
      <c r="J15" s="321"/>
      <c r="K15" s="321"/>
      <c r="L15" s="321"/>
      <c r="M15" s="67" t="s">
        <v>722</v>
      </c>
      <c r="N15" s="308" t="s">
        <v>647</v>
      </c>
      <c r="AI15" s="11">
        <v>19</v>
      </c>
    </row>
    <row r="16" spans="1:35" ht="35.65" customHeight="1">
      <c r="D16" s="55"/>
      <c r="E16" s="894" t="s">
        <v>110</v>
      </c>
      <c r="F16" s="153" t="s">
        <v>723</v>
      </c>
      <c r="G16" s="41" t="s">
        <v>556</v>
      </c>
      <c r="H16" s="322">
        <f>SUM(H17,H20,H23,H26,H29:H32,H35)</f>
        <v>0</v>
      </c>
      <c r="I16" s="322">
        <f>SUM(I17,I20,I23,I26,I29:I32,I35)</f>
        <v>0</v>
      </c>
      <c r="J16" s="322">
        <f>SUM(J17,J20,J23,J26,J29:J32,J35)</f>
        <v>0</v>
      </c>
      <c r="K16" s="322">
        <f>SUM(K17,K20,K23,K26,K29:K32,K35)</f>
        <v>0</v>
      </c>
      <c r="L16" s="322">
        <f>SUM(L17,L20,L23,L26,L29:L32,L35)</f>
        <v>0</v>
      </c>
      <c r="M16" s="67" t="s">
        <v>724</v>
      </c>
      <c r="N16" s="308" t="s">
        <v>647</v>
      </c>
      <c r="AI16" s="11">
        <v>34</v>
      </c>
    </row>
    <row r="17" spans="1:35" ht="19.899999999999999" customHeight="1">
      <c r="D17" s="55"/>
      <c r="E17" s="898" t="s">
        <v>725</v>
      </c>
      <c r="F17" s="323" t="s">
        <v>726</v>
      </c>
      <c r="G17" s="395" t="s">
        <v>556</v>
      </c>
      <c r="H17" s="321"/>
      <c r="I17" s="321"/>
      <c r="J17" s="321"/>
      <c r="K17" s="321"/>
      <c r="L17" s="321"/>
      <c r="M17" s="67" t="s">
        <v>727</v>
      </c>
      <c r="N17" s="308"/>
      <c r="AI17" s="11">
        <v>19</v>
      </c>
    </row>
    <row r="18" spans="1:35" ht="24" customHeight="1">
      <c r="D18" s="55"/>
      <c r="E18" s="898" t="s">
        <v>728</v>
      </c>
      <c r="F18" s="338" t="s">
        <v>729</v>
      </c>
      <c r="G18" s="395" t="s">
        <v>556</v>
      </c>
      <c r="H18" s="321"/>
      <c r="I18" s="321"/>
      <c r="J18" s="321"/>
      <c r="K18" s="321"/>
      <c r="L18" s="321"/>
      <c r="M18" s="67" t="s">
        <v>730</v>
      </c>
      <c r="N18" s="308"/>
      <c r="AI18" s="11">
        <v>23</v>
      </c>
    </row>
    <row r="19" spans="1:35" ht="35.65" customHeight="1">
      <c r="D19" s="55"/>
      <c r="E19" s="898" t="s">
        <v>731</v>
      </c>
      <c r="F19" s="338" t="s">
        <v>732</v>
      </c>
      <c r="G19" s="395" t="s">
        <v>556</v>
      </c>
      <c r="H19" s="321"/>
      <c r="I19" s="321"/>
      <c r="J19" s="321"/>
      <c r="K19" s="321"/>
      <c r="L19" s="321"/>
      <c r="M19" s="67"/>
      <c r="N19" s="308"/>
      <c r="AI19" s="11">
        <v>34</v>
      </c>
    </row>
    <row r="20" spans="1:35" ht="19.899999999999999" customHeight="1">
      <c r="D20" s="55"/>
      <c r="E20" s="898" t="s">
        <v>313</v>
      </c>
      <c r="F20" s="323" t="s">
        <v>733</v>
      </c>
      <c r="G20" s="395" t="s">
        <v>556</v>
      </c>
      <c r="H20" s="321"/>
      <c r="I20" s="321"/>
      <c r="J20" s="321"/>
      <c r="K20" s="321"/>
      <c r="L20" s="321"/>
      <c r="M20" s="67" t="s">
        <v>734</v>
      </c>
      <c r="N20" s="308"/>
      <c r="AI20" s="11">
        <v>19</v>
      </c>
    </row>
    <row r="21" spans="1:35" ht="19.899999999999999" customHeight="1">
      <c r="D21" s="55"/>
      <c r="E21" s="898" t="s">
        <v>735</v>
      </c>
      <c r="F21" s="338" t="s">
        <v>736</v>
      </c>
      <c r="G21" s="395" t="s">
        <v>556</v>
      </c>
      <c r="H21" s="321"/>
      <c r="I21" s="321"/>
      <c r="J21" s="321"/>
      <c r="K21" s="321"/>
      <c r="L21" s="321"/>
      <c r="M21" s="67"/>
      <c r="N21" s="308"/>
      <c r="AI21" s="11">
        <v>19</v>
      </c>
    </row>
    <row r="22" spans="1:35" ht="19.899999999999999" customHeight="1">
      <c r="D22" s="55"/>
      <c r="E22" s="898" t="s">
        <v>737</v>
      </c>
      <c r="F22" s="338" t="s">
        <v>738</v>
      </c>
      <c r="G22" s="395" t="s">
        <v>556</v>
      </c>
      <c r="H22" s="321"/>
      <c r="I22" s="321"/>
      <c r="J22" s="321"/>
      <c r="K22" s="321"/>
      <c r="L22" s="321"/>
      <c r="M22" s="67"/>
      <c r="N22" s="308"/>
      <c r="AI22" s="11">
        <v>19</v>
      </c>
    </row>
    <row r="23" spans="1:35" ht="24" customHeight="1">
      <c r="D23" s="55"/>
      <c r="E23" s="898" t="s">
        <v>316</v>
      </c>
      <c r="F23" s="323" t="s">
        <v>739</v>
      </c>
      <c r="G23" s="395" t="s">
        <v>556</v>
      </c>
      <c r="H23" s="321"/>
      <c r="I23" s="321"/>
      <c r="J23" s="321"/>
      <c r="K23" s="321"/>
      <c r="L23" s="321"/>
      <c r="M23" s="67" t="s">
        <v>740</v>
      </c>
      <c r="N23" s="308"/>
      <c r="AI23" s="11">
        <v>23</v>
      </c>
    </row>
    <row r="24" spans="1:35" ht="19.899999999999999" customHeight="1">
      <c r="D24" s="55"/>
      <c r="E24" s="898" t="s">
        <v>741</v>
      </c>
      <c r="F24" s="338" t="s">
        <v>742</v>
      </c>
      <c r="G24" s="395" t="s">
        <v>556</v>
      </c>
      <c r="H24" s="321"/>
      <c r="I24" s="321"/>
      <c r="J24" s="321"/>
      <c r="K24" s="321"/>
      <c r="L24" s="321"/>
      <c r="M24" s="67"/>
      <c r="N24" s="308"/>
      <c r="AI24" s="11">
        <v>19</v>
      </c>
    </row>
    <row r="25" spans="1:35" ht="35.65" customHeight="1">
      <c r="D25" s="55"/>
      <c r="E25" s="898" t="s">
        <v>743</v>
      </c>
      <c r="F25" s="338" t="s">
        <v>744</v>
      </c>
      <c r="G25" s="395" t="s">
        <v>556</v>
      </c>
      <c r="H25" s="321"/>
      <c r="I25" s="321"/>
      <c r="J25" s="321"/>
      <c r="K25" s="321"/>
      <c r="L25" s="321"/>
      <c r="M25" s="67"/>
      <c r="N25" s="308"/>
      <c r="AI25" s="11">
        <v>34</v>
      </c>
    </row>
    <row r="26" spans="1:35" ht="24" customHeight="1">
      <c r="D26" s="55"/>
      <c r="E26" s="898" t="s">
        <v>745</v>
      </c>
      <c r="F26" s="323" t="s">
        <v>746</v>
      </c>
      <c r="G26" s="395" t="s">
        <v>556</v>
      </c>
      <c r="H26" s="321"/>
      <c r="I26" s="321"/>
      <c r="J26" s="321"/>
      <c r="K26" s="321"/>
      <c r="L26" s="321"/>
      <c r="M26" s="67" t="s">
        <v>747</v>
      </c>
      <c r="N26" s="308"/>
      <c r="AI26" s="11">
        <v>23</v>
      </c>
    </row>
    <row r="27" spans="1:35" ht="19.899999999999999" customHeight="1">
      <c r="D27" s="55"/>
      <c r="E27" s="900" t="s">
        <v>748</v>
      </c>
      <c r="F27" s="338" t="s">
        <v>749</v>
      </c>
      <c r="G27" s="395" t="s">
        <v>556</v>
      </c>
      <c r="H27" s="901"/>
      <c r="I27" s="901"/>
      <c r="J27" s="901"/>
      <c r="K27" s="901"/>
      <c r="L27" s="901"/>
      <c r="M27" s="67"/>
      <c r="N27" s="308"/>
      <c r="AI27" s="11">
        <v>19</v>
      </c>
    </row>
    <row r="28" spans="1:35" ht="19.899999999999999" customHeight="1">
      <c r="D28" s="55"/>
      <c r="E28" s="900" t="s">
        <v>750</v>
      </c>
      <c r="F28" s="338" t="s">
        <v>751</v>
      </c>
      <c r="G28" s="395" t="s">
        <v>556</v>
      </c>
      <c r="H28" s="901"/>
      <c r="I28" s="901"/>
      <c r="J28" s="901"/>
      <c r="K28" s="901"/>
      <c r="L28" s="901"/>
      <c r="M28" s="67"/>
      <c r="N28" s="308"/>
      <c r="AI28" s="11">
        <v>19</v>
      </c>
    </row>
    <row r="29" spans="1:35" ht="19.899999999999999" customHeight="1">
      <c r="D29" s="55"/>
      <c r="E29" s="900" t="s">
        <v>752</v>
      </c>
      <c r="F29" s="323" t="s">
        <v>753</v>
      </c>
      <c r="G29" s="395" t="s">
        <v>556</v>
      </c>
      <c r="H29" s="901"/>
      <c r="I29" s="901"/>
      <c r="J29" s="901"/>
      <c r="K29" s="901"/>
      <c r="L29" s="901"/>
      <c r="M29" s="67"/>
      <c r="N29" s="308"/>
      <c r="AI29" s="11">
        <v>19</v>
      </c>
    </row>
    <row r="30" spans="1:35" ht="19.899999999999999" customHeight="1">
      <c r="D30" s="55"/>
      <c r="E30" s="900" t="s">
        <v>754</v>
      </c>
      <c r="F30" s="323" t="s">
        <v>755</v>
      </c>
      <c r="G30" s="395" t="s">
        <v>556</v>
      </c>
      <c r="H30" s="901"/>
      <c r="I30" s="901"/>
      <c r="J30" s="901"/>
      <c r="K30" s="901"/>
      <c r="L30" s="901"/>
      <c r="M30" s="67"/>
      <c r="N30" s="308"/>
      <c r="AI30" s="11">
        <v>19</v>
      </c>
    </row>
    <row r="31" spans="1:35" ht="19.899999999999999" customHeight="1">
      <c r="D31" s="55"/>
      <c r="E31" s="900" t="s">
        <v>756</v>
      </c>
      <c r="F31" s="323" t="s">
        <v>757</v>
      </c>
      <c r="G31" s="395" t="s">
        <v>556</v>
      </c>
      <c r="H31" s="901"/>
      <c r="I31" s="901"/>
      <c r="J31" s="901"/>
      <c r="K31" s="901"/>
      <c r="L31" s="901"/>
      <c r="M31" s="67"/>
      <c r="N31" s="308"/>
      <c r="AI31" s="11">
        <v>19</v>
      </c>
    </row>
    <row r="32" spans="1:35" s="63" customFormat="1" ht="35.65" customHeight="1">
      <c r="A32" s="572"/>
      <c r="C32" s="68"/>
      <c r="D32" s="55"/>
      <c r="E32" s="900" t="s">
        <v>758</v>
      </c>
      <c r="F32" s="323" t="s">
        <v>759</v>
      </c>
      <c r="G32" s="340" t="s">
        <v>556</v>
      </c>
      <c r="H32" s="341">
        <f>SUM(H33:H34)</f>
        <v>0</v>
      </c>
      <c r="I32" s="341">
        <f>SUM(I33:I34)</f>
        <v>0</v>
      </c>
      <c r="J32" s="341">
        <f>SUM(J33:J34)</f>
        <v>0</v>
      </c>
      <c r="K32" s="341">
        <f>SUM(K33:K34)</f>
        <v>0</v>
      </c>
      <c r="L32" s="341">
        <f>SUM(L33:L34)</f>
        <v>0</v>
      </c>
      <c r="M32" s="67" t="s">
        <v>760</v>
      </c>
      <c r="N32" s="308"/>
      <c r="O32" s="68"/>
      <c r="P32" s="68"/>
      <c r="U32" s="68"/>
      <c r="X32" s="309"/>
      <c r="AD32" s="8"/>
      <c r="AE32" s="8"/>
      <c r="AF32" s="8"/>
      <c r="AG32" s="8"/>
      <c r="AH32" s="8"/>
      <c r="AI32" s="63">
        <v>34</v>
      </c>
    </row>
    <row r="33" spans="1:35" s="68" customFormat="1" ht="1.1499999999999999" customHeight="1">
      <c r="A33" s="313"/>
      <c r="D33" s="313"/>
      <c r="E33" s="316" t="str">
        <f>E32&amp;".0"</f>
        <v>2.8.0</v>
      </c>
      <c r="F33" s="576"/>
      <c r="G33" s="316"/>
      <c r="H33" s="577"/>
      <c r="I33" s="577"/>
      <c r="J33" s="577"/>
      <c r="K33" s="577"/>
      <c r="L33" s="577"/>
      <c r="M33" s="578"/>
      <c r="AI33" s="68">
        <v>1</v>
      </c>
    </row>
    <row r="34" spans="1:35" s="63" customFormat="1" ht="19.899999999999999" customHeight="1">
      <c r="A34" s="572"/>
      <c r="C34" s="68"/>
      <c r="D34" s="77"/>
      <c r="E34" s="333"/>
      <c r="F34" s="899" t="s">
        <v>584</v>
      </c>
      <c r="G34" s="334"/>
      <c r="H34" s="335"/>
      <c r="I34" s="335"/>
      <c r="J34" s="335"/>
      <c r="K34" s="335"/>
      <c r="L34" s="335"/>
      <c r="M34" s="172" t="s">
        <v>761</v>
      </c>
      <c r="N34" s="308"/>
      <c r="O34" s="68"/>
      <c r="P34" s="68"/>
      <c r="U34" s="68"/>
      <c r="X34" s="309"/>
      <c r="AD34" s="8"/>
      <c r="AE34" s="8"/>
      <c r="AF34" s="8"/>
      <c r="AG34" s="8"/>
      <c r="AH34" s="8"/>
      <c r="AI34" s="63">
        <v>19</v>
      </c>
    </row>
    <row r="35" spans="1:35" ht="60" customHeight="1">
      <c r="D35" s="55"/>
      <c r="E35" s="900" t="s">
        <v>762</v>
      </c>
      <c r="F35" s="323" t="s">
        <v>763</v>
      </c>
      <c r="G35" s="395" t="s">
        <v>556</v>
      </c>
      <c r="H35" s="901"/>
      <c r="I35" s="901"/>
      <c r="J35" s="901"/>
      <c r="K35" s="901"/>
      <c r="L35" s="901"/>
      <c r="M35" s="67" t="s">
        <v>764</v>
      </c>
      <c r="N35" s="308"/>
      <c r="AI35" s="11">
        <v>57</v>
      </c>
    </row>
    <row r="36" spans="1:35" ht="19.899999999999999" customHeight="1">
      <c r="D36" s="55"/>
      <c r="E36" s="900" t="s">
        <v>765</v>
      </c>
      <c r="F36" s="510" t="s">
        <v>766</v>
      </c>
      <c r="G36" s="395" t="s">
        <v>556</v>
      </c>
      <c r="H36" s="1093"/>
      <c r="I36" s="1093"/>
      <c r="J36" s="1093"/>
      <c r="K36" s="1093"/>
      <c r="L36" s="1093"/>
      <c r="M36" s="397" t="s">
        <v>767</v>
      </c>
      <c r="N36" s="308"/>
      <c r="AI36" s="11">
        <v>19</v>
      </c>
    </row>
    <row r="37" spans="1:35" ht="19.899999999999999" customHeight="1">
      <c r="D37" s="55"/>
      <c r="E37" s="900" t="s">
        <v>768</v>
      </c>
      <c r="F37" s="510" t="s">
        <v>769</v>
      </c>
      <c r="G37" s="395" t="s">
        <v>556</v>
      </c>
      <c r="H37" s="1093"/>
      <c r="I37" s="1093"/>
      <c r="J37" s="1093"/>
      <c r="K37" s="1093"/>
      <c r="L37" s="1093"/>
      <c r="M37" s="397" t="s">
        <v>770</v>
      </c>
      <c r="N37" s="308"/>
      <c r="AI37" s="11">
        <v>19</v>
      </c>
    </row>
    <row r="38" spans="1:35" s="63" customFormat="1" ht="24" customHeight="1">
      <c r="A38" s="574" t="s">
        <v>585</v>
      </c>
      <c r="C38" s="68"/>
      <c r="D38" s="55"/>
      <c r="E38" s="898" t="s">
        <v>90</v>
      </c>
      <c r="F38" s="153" t="s">
        <v>771</v>
      </c>
      <c r="G38" s="395" t="s">
        <v>556</v>
      </c>
      <c r="H38" s="321"/>
      <c r="I38" s="321"/>
      <c r="J38" s="321"/>
      <c r="K38" s="321"/>
      <c r="L38" s="321"/>
      <c r="M38" s="67" t="s">
        <v>772</v>
      </c>
      <c r="N38" s="308"/>
      <c r="O38" s="68"/>
      <c r="P38" s="68"/>
      <c r="U38" s="68"/>
      <c r="X38" s="309"/>
      <c r="AD38" s="8"/>
      <c r="AE38" s="8"/>
      <c r="AF38" s="8"/>
      <c r="AG38" s="8"/>
      <c r="AH38" s="8"/>
      <c r="AI38" s="63">
        <v>23</v>
      </c>
    </row>
    <row r="39" spans="1:35" s="63" customFormat="1" ht="35.65" customHeight="1">
      <c r="A39" s="574"/>
      <c r="C39" s="68"/>
      <c r="D39" s="55"/>
      <c r="E39" s="898" t="s">
        <v>330</v>
      </c>
      <c r="F39" s="323" t="s">
        <v>773</v>
      </c>
      <c r="G39" s="395"/>
      <c r="H39" s="321"/>
      <c r="I39" s="321"/>
      <c r="J39" s="321"/>
      <c r="K39" s="321"/>
      <c r="L39" s="321"/>
      <c r="M39" s="67"/>
      <c r="N39" s="308"/>
      <c r="O39" s="68"/>
      <c r="P39" s="68"/>
      <c r="U39" s="68"/>
      <c r="X39" s="309"/>
      <c r="AD39" s="8"/>
      <c r="AE39" s="8"/>
      <c r="AF39" s="8"/>
      <c r="AG39" s="8"/>
      <c r="AH39" s="8"/>
      <c r="AI39" s="63">
        <v>34</v>
      </c>
    </row>
    <row r="40" spans="1:35" s="63" customFormat="1" ht="19.899999999999999" customHeight="1">
      <c r="A40" s="572"/>
      <c r="C40" s="68"/>
      <c r="D40" s="337"/>
      <c r="E40" s="898" t="s">
        <v>91</v>
      </c>
      <c r="F40" s="153" t="s">
        <v>774</v>
      </c>
      <c r="G40" s="395" t="s">
        <v>556</v>
      </c>
      <c r="H40" s="321"/>
      <c r="I40" s="321"/>
      <c r="J40" s="321"/>
      <c r="K40" s="321"/>
      <c r="L40" s="321"/>
      <c r="M40" s="67" t="s">
        <v>775</v>
      </c>
      <c r="N40" s="308"/>
      <c r="O40" s="68"/>
      <c r="P40" s="68"/>
      <c r="U40" s="68"/>
      <c r="X40" s="309"/>
      <c r="AD40" s="8"/>
      <c r="AE40" s="8"/>
      <c r="AF40" s="8"/>
      <c r="AG40" s="8"/>
      <c r="AH40" s="8"/>
      <c r="AI40" s="63">
        <v>19</v>
      </c>
    </row>
    <row r="41" spans="1:35" s="63" customFormat="1" ht="24" customHeight="1">
      <c r="A41" s="572"/>
      <c r="C41" s="68"/>
      <c r="D41" s="337"/>
      <c r="E41" s="898" t="s">
        <v>776</v>
      </c>
      <c r="F41" s="323" t="s">
        <v>777</v>
      </c>
      <c r="G41" s="395" t="s">
        <v>556</v>
      </c>
      <c r="H41" s="321"/>
      <c r="I41" s="321"/>
      <c r="J41" s="321"/>
      <c r="K41" s="321"/>
      <c r="L41" s="321"/>
      <c r="M41" s="67" t="s">
        <v>778</v>
      </c>
      <c r="N41" s="308"/>
      <c r="O41" s="68"/>
      <c r="P41" s="68"/>
      <c r="U41" s="68"/>
      <c r="X41" s="309"/>
      <c r="AD41" s="8"/>
      <c r="AE41" s="8"/>
      <c r="AF41" s="8"/>
      <c r="AG41" s="8"/>
      <c r="AH41" s="8"/>
      <c r="AI41" s="63">
        <v>23</v>
      </c>
    </row>
    <row r="42" spans="1:35" s="63" customFormat="1" ht="24" customHeight="1">
      <c r="A42" s="572"/>
      <c r="C42" s="68"/>
      <c r="D42" s="55"/>
      <c r="E42" s="898" t="s">
        <v>779</v>
      </c>
      <c r="F42" s="338" t="s">
        <v>780</v>
      </c>
      <c r="G42" s="395" t="s">
        <v>556</v>
      </c>
      <c r="H42" s="321"/>
      <c r="I42" s="321"/>
      <c r="J42" s="321"/>
      <c r="K42" s="321"/>
      <c r="L42" s="321"/>
      <c r="M42" s="67" t="s">
        <v>781</v>
      </c>
      <c r="N42" s="308"/>
      <c r="O42" s="68"/>
      <c r="P42" s="68"/>
      <c r="U42" s="68"/>
      <c r="X42" s="309"/>
      <c r="AD42" s="8"/>
      <c r="AE42" s="8"/>
      <c r="AF42" s="8"/>
      <c r="AG42" s="8"/>
      <c r="AH42" s="8"/>
      <c r="AI42" s="63">
        <v>23</v>
      </c>
    </row>
    <row r="43" spans="1:35" s="63" customFormat="1" ht="24" customHeight="1">
      <c r="A43" s="572"/>
      <c r="C43" s="68"/>
      <c r="D43" s="55"/>
      <c r="E43" s="898" t="s">
        <v>782</v>
      </c>
      <c r="F43" s="338" t="s">
        <v>783</v>
      </c>
      <c r="G43" s="395" t="s">
        <v>556</v>
      </c>
      <c r="H43" s="321"/>
      <c r="I43" s="321"/>
      <c r="J43" s="321"/>
      <c r="K43" s="321"/>
      <c r="L43" s="321"/>
      <c r="M43" s="67" t="s">
        <v>784</v>
      </c>
      <c r="N43" s="308"/>
      <c r="O43" s="68"/>
      <c r="P43" s="68"/>
      <c r="U43" s="68"/>
      <c r="X43" s="309"/>
      <c r="AD43" s="8"/>
      <c r="AE43" s="8"/>
      <c r="AF43" s="8"/>
      <c r="AG43" s="8"/>
      <c r="AH43" s="8"/>
      <c r="AI43" s="63">
        <v>23</v>
      </c>
    </row>
    <row r="44" spans="1:35" s="63" customFormat="1" ht="24" customHeight="1">
      <c r="A44" s="572"/>
      <c r="C44" s="68"/>
      <c r="D44" s="55"/>
      <c r="E44" s="898" t="s">
        <v>785</v>
      </c>
      <c r="F44" s="338" t="s">
        <v>786</v>
      </c>
      <c r="G44" s="395" t="s">
        <v>556</v>
      </c>
      <c r="H44" s="321"/>
      <c r="I44" s="321"/>
      <c r="J44" s="321"/>
      <c r="K44" s="321"/>
      <c r="L44" s="321"/>
      <c r="M44" s="67" t="s">
        <v>787</v>
      </c>
      <c r="N44" s="308"/>
      <c r="O44" s="68"/>
      <c r="P44" s="68"/>
      <c r="U44" s="68"/>
      <c r="X44" s="309"/>
      <c r="AD44" s="8"/>
      <c r="AE44" s="8"/>
      <c r="AF44" s="8"/>
      <c r="AG44" s="8"/>
      <c r="AH44" s="8"/>
      <c r="AI44" s="63">
        <v>23</v>
      </c>
    </row>
    <row r="45" spans="1:35" s="63" customFormat="1" ht="35.65" customHeight="1">
      <c r="A45" s="572"/>
      <c r="C45" s="68" t="s">
        <v>587</v>
      </c>
      <c r="D45" s="55"/>
      <c r="E45" s="898" t="s">
        <v>111</v>
      </c>
      <c r="F45" s="153" t="s">
        <v>646</v>
      </c>
      <c r="G45" s="41" t="s">
        <v>788</v>
      </c>
      <c r="H45" s="228"/>
      <c r="I45" s="228"/>
      <c r="J45" s="228"/>
      <c r="K45" s="228"/>
      <c r="L45" s="228"/>
      <c r="M45" s="67" t="s">
        <v>789</v>
      </c>
      <c r="N45" s="308"/>
      <c r="O45" s="68"/>
      <c r="P45" s="68"/>
      <c r="U45" s="68"/>
      <c r="X45" s="309"/>
      <c r="AD45" s="8"/>
      <c r="AE45" s="8"/>
      <c r="AF45" s="8"/>
      <c r="AG45" s="8"/>
      <c r="AH45" s="8"/>
      <c r="AI45" s="63">
        <v>34</v>
      </c>
    </row>
    <row r="46" spans="1:35" s="63" customFormat="1" ht="35.65" customHeight="1">
      <c r="A46" s="572"/>
      <c r="C46" s="68"/>
      <c r="D46" s="55"/>
      <c r="E46" s="898" t="s">
        <v>92</v>
      </c>
      <c r="F46" s="153" t="s">
        <v>790</v>
      </c>
      <c r="G46" s="395" t="s">
        <v>791</v>
      </c>
      <c r="H46" s="310"/>
      <c r="I46" s="310"/>
      <c r="J46" s="310"/>
      <c r="K46" s="310"/>
      <c r="L46" s="310"/>
      <c r="M46" s="67" t="s">
        <v>792</v>
      </c>
      <c r="N46" s="308"/>
      <c r="O46" s="68"/>
      <c r="P46" s="68"/>
      <c r="U46" s="68"/>
      <c r="X46" s="309"/>
      <c r="AD46" s="8"/>
      <c r="AE46" s="8"/>
      <c r="AF46" s="8"/>
      <c r="AG46" s="8"/>
      <c r="AH46" s="8"/>
      <c r="AI46" s="63">
        <v>34</v>
      </c>
    </row>
    <row r="47" spans="1:35" s="63" customFormat="1" ht="24" customHeight="1">
      <c r="A47" s="572"/>
      <c r="C47" s="68"/>
      <c r="D47" s="55"/>
      <c r="E47" s="898" t="s">
        <v>93</v>
      </c>
      <c r="F47" s="153" t="s">
        <v>793</v>
      </c>
      <c r="G47" s="395" t="s">
        <v>794</v>
      </c>
      <c r="H47" s="310"/>
      <c r="I47" s="310"/>
      <c r="J47" s="310"/>
      <c r="K47" s="310"/>
      <c r="L47" s="310"/>
      <c r="M47" s="67" t="s">
        <v>795</v>
      </c>
      <c r="N47" s="308"/>
      <c r="O47" s="68"/>
      <c r="P47" s="68"/>
      <c r="U47" s="68"/>
      <c r="X47" s="309"/>
      <c r="AD47" s="8"/>
      <c r="AE47" s="8"/>
      <c r="AF47" s="8"/>
      <c r="AG47" s="8"/>
      <c r="AH47" s="8"/>
      <c r="AI47" s="63">
        <v>23</v>
      </c>
    </row>
    <row r="48" spans="1:35" s="63" customFormat="1" ht="19.899999999999999" customHeight="1">
      <c r="A48" s="572"/>
      <c r="C48" s="68"/>
      <c r="D48" s="55"/>
      <c r="E48" s="898" t="s">
        <v>112</v>
      </c>
      <c r="F48" s="153" t="s">
        <v>796</v>
      </c>
      <c r="G48" s="395" t="s">
        <v>597</v>
      </c>
      <c r="H48" s="339"/>
      <c r="I48" s="339"/>
      <c r="J48" s="339"/>
      <c r="K48" s="339"/>
      <c r="L48" s="339"/>
      <c r="M48" s="67"/>
      <c r="N48" s="308"/>
      <c r="O48" s="68"/>
      <c r="P48" s="68"/>
      <c r="U48" s="68"/>
      <c r="X48" s="309"/>
      <c r="AD48" s="8"/>
      <c r="AE48" s="8"/>
      <c r="AF48" s="8"/>
      <c r="AG48" s="8"/>
      <c r="AH48" s="8"/>
      <c r="AI48" s="63">
        <v>19</v>
      </c>
    </row>
    <row r="49" spans="1:35" ht="11.45" customHeight="1">
      <c r="D49" s="55"/>
      <c r="AI49" s="11">
        <v>11</v>
      </c>
    </row>
    <row r="50" spans="1:35" s="203" customFormat="1" ht="11.45" customHeight="1">
      <c r="A50" s="572"/>
      <c r="B50" s="68"/>
      <c r="C50" s="68"/>
      <c r="N50" s="63"/>
      <c r="O50" s="68"/>
      <c r="P50" s="68"/>
      <c r="Q50" s="63"/>
      <c r="R50" s="63"/>
      <c r="S50" s="63"/>
      <c r="T50" s="63"/>
      <c r="U50" s="68"/>
      <c r="V50" s="63"/>
      <c r="W50" s="63"/>
      <c r="X50" s="309"/>
      <c r="Y50" s="63"/>
      <c r="Z50" s="63"/>
      <c r="AA50" s="63"/>
      <c r="AB50" s="63"/>
      <c r="AC50" s="63"/>
      <c r="AD50" s="8"/>
      <c r="AE50" s="142"/>
      <c r="AF50" s="142"/>
      <c r="AG50" s="142"/>
      <c r="AH50" s="142"/>
      <c r="AI50" s="203">
        <v>11</v>
      </c>
    </row>
    <row r="51" spans="1:35" s="203" customFormat="1" ht="11.45" customHeight="1">
      <c r="A51" s="572"/>
      <c r="B51" s="68"/>
      <c r="C51" s="68"/>
      <c r="N51" s="63"/>
      <c r="O51" s="68"/>
      <c r="P51" s="68"/>
      <c r="Q51" s="63"/>
      <c r="R51" s="63"/>
      <c r="S51" s="63"/>
      <c r="T51" s="63"/>
      <c r="U51" s="68"/>
      <c r="V51" s="63"/>
      <c r="W51" s="63"/>
      <c r="X51" s="309"/>
      <c r="Y51" s="63"/>
      <c r="Z51" s="63"/>
      <c r="AA51" s="63"/>
      <c r="AB51" s="63"/>
      <c r="AC51" s="63"/>
      <c r="AD51" s="8"/>
      <c r="AE51" s="142"/>
      <c r="AF51" s="142"/>
      <c r="AG51" s="142"/>
      <c r="AH51" s="142"/>
      <c r="AI51" s="203">
        <v>11</v>
      </c>
    </row>
    <row r="52" spans="1:35" s="203" customFormat="1" ht="11.45" customHeight="1">
      <c r="A52" s="572"/>
      <c r="B52" s="68"/>
      <c r="C52" s="68"/>
      <c r="H52" s="142"/>
      <c r="I52" s="142"/>
      <c r="J52" s="142"/>
      <c r="K52" s="142"/>
      <c r="L52" s="142"/>
      <c r="N52" s="63"/>
      <c r="O52" s="68"/>
      <c r="P52" s="68"/>
      <c r="Q52" s="63"/>
      <c r="R52" s="63"/>
      <c r="S52" s="63"/>
      <c r="T52" s="63"/>
      <c r="U52" s="68"/>
      <c r="V52" s="63"/>
      <c r="W52" s="63"/>
      <c r="X52" s="309"/>
      <c r="Y52" s="63"/>
      <c r="Z52" s="63"/>
      <c r="AA52" s="63"/>
      <c r="AB52" s="63"/>
      <c r="AC52" s="63"/>
      <c r="AD52" s="8"/>
      <c r="AE52" s="142"/>
      <c r="AF52" s="142"/>
      <c r="AG52" s="142"/>
      <c r="AH52" s="142"/>
      <c r="AI52" s="203">
        <v>11</v>
      </c>
    </row>
    <row r="53" spans="1:35" s="203" customFormat="1" ht="11.45" customHeight="1">
      <c r="A53" s="572"/>
      <c r="B53" s="68"/>
      <c r="C53" s="68"/>
      <c r="N53" s="63"/>
      <c r="O53" s="68"/>
      <c r="P53" s="68"/>
      <c r="Q53" s="63"/>
      <c r="R53" s="63"/>
      <c r="S53" s="63"/>
      <c r="T53" s="63"/>
      <c r="U53" s="68"/>
      <c r="V53" s="63"/>
      <c r="W53" s="63"/>
      <c r="X53" s="309"/>
      <c r="Y53" s="63"/>
      <c r="Z53" s="63"/>
      <c r="AA53" s="63"/>
      <c r="AB53" s="63"/>
      <c r="AC53" s="63"/>
      <c r="AD53" s="8"/>
      <c r="AE53" s="142"/>
      <c r="AF53" s="142"/>
      <c r="AG53" s="142"/>
      <c r="AH53" s="142"/>
      <c r="AI53" s="203">
        <v>11</v>
      </c>
    </row>
    <row r="54" spans="1:35" s="203" customFormat="1" ht="11.45" customHeight="1">
      <c r="A54" s="572"/>
      <c r="B54" s="68"/>
      <c r="C54" s="68"/>
      <c r="N54" s="63"/>
      <c r="O54" s="68"/>
      <c r="P54" s="68"/>
      <c r="Q54" s="63"/>
      <c r="R54" s="63"/>
      <c r="S54" s="63"/>
      <c r="T54" s="63"/>
      <c r="U54" s="68"/>
      <c r="V54" s="63"/>
      <c r="W54" s="63"/>
      <c r="X54" s="309"/>
      <c r="Y54" s="63"/>
      <c r="Z54" s="63"/>
      <c r="AA54" s="63"/>
      <c r="AB54" s="63"/>
      <c r="AC54" s="63"/>
      <c r="AD54" s="8"/>
      <c r="AE54" s="142"/>
      <c r="AF54" s="142"/>
      <c r="AG54" s="142"/>
      <c r="AH54" s="142"/>
      <c r="AI54" s="203">
        <v>11</v>
      </c>
    </row>
    <row r="55" spans="1:35" s="203" customFormat="1" ht="11.45" customHeight="1">
      <c r="A55" s="572"/>
      <c r="B55" s="68"/>
      <c r="C55" s="68"/>
      <c r="N55" s="63"/>
      <c r="O55" s="68"/>
      <c r="P55" s="68"/>
      <c r="Q55" s="63"/>
      <c r="R55" s="63"/>
      <c r="S55" s="63"/>
      <c r="T55" s="63"/>
      <c r="U55" s="68"/>
      <c r="V55" s="63"/>
      <c r="W55" s="63"/>
      <c r="X55" s="309"/>
      <c r="Y55" s="63"/>
      <c r="Z55" s="63"/>
      <c r="AA55" s="63"/>
      <c r="AB55" s="63"/>
      <c r="AC55" s="63"/>
      <c r="AD55" s="8"/>
      <c r="AE55" s="142"/>
      <c r="AF55" s="142"/>
      <c r="AG55" s="142"/>
      <c r="AH55" s="142"/>
      <c r="AI55" s="203">
        <v>11</v>
      </c>
    </row>
    <row r="56" spans="1:35" s="203" customFormat="1" ht="11.45" customHeight="1">
      <c r="A56" s="572"/>
      <c r="B56" s="68"/>
      <c r="C56" s="68"/>
      <c r="N56" s="63"/>
      <c r="O56" s="68"/>
      <c r="P56" s="68"/>
      <c r="Q56" s="63"/>
      <c r="R56" s="63"/>
      <c r="S56" s="63"/>
      <c r="T56" s="63"/>
      <c r="U56" s="68"/>
      <c r="V56" s="63"/>
      <c r="W56" s="63"/>
      <c r="X56" s="309"/>
      <c r="Y56" s="63"/>
      <c r="Z56" s="63"/>
      <c r="AA56" s="63"/>
      <c r="AB56" s="63"/>
      <c r="AC56" s="63"/>
      <c r="AD56" s="8"/>
      <c r="AE56" s="142"/>
      <c r="AF56" s="142"/>
      <c r="AG56" s="142"/>
      <c r="AH56" s="142"/>
      <c r="AI56" s="203">
        <v>11</v>
      </c>
    </row>
    <row r="57" spans="1:35" s="203" customFormat="1" ht="11.45" customHeight="1">
      <c r="A57" s="572"/>
      <c r="B57" s="68"/>
      <c r="C57" s="68"/>
      <c r="N57" s="63"/>
      <c r="O57" s="68"/>
      <c r="P57" s="68"/>
      <c r="Q57" s="63"/>
      <c r="R57" s="63"/>
      <c r="S57" s="63"/>
      <c r="T57" s="63"/>
      <c r="U57" s="68"/>
      <c r="V57" s="63"/>
      <c r="W57" s="63"/>
      <c r="X57" s="309"/>
      <c r="Y57" s="63"/>
      <c r="Z57" s="63"/>
      <c r="AA57" s="63"/>
      <c r="AB57" s="63"/>
      <c r="AC57" s="63"/>
      <c r="AD57" s="8"/>
      <c r="AE57" s="142"/>
      <c r="AF57" s="142"/>
      <c r="AG57" s="142"/>
      <c r="AH57" s="142"/>
      <c r="AI57" s="203">
        <v>11</v>
      </c>
    </row>
    <row r="58" spans="1:35" s="203" customFormat="1" ht="11.45" customHeight="1">
      <c r="A58" s="572"/>
      <c r="B58" s="68"/>
      <c r="C58" s="68"/>
      <c r="N58" s="63"/>
      <c r="O58" s="68"/>
      <c r="P58" s="68"/>
      <c r="Q58" s="63"/>
      <c r="R58" s="63"/>
      <c r="S58" s="63"/>
      <c r="T58" s="63"/>
      <c r="U58" s="68"/>
      <c r="V58" s="63"/>
      <c r="W58" s="63"/>
      <c r="X58" s="309"/>
      <c r="Y58" s="63"/>
      <c r="Z58" s="63"/>
      <c r="AA58" s="63"/>
      <c r="AB58" s="63"/>
      <c r="AC58" s="63"/>
      <c r="AD58" s="8"/>
      <c r="AE58" s="142"/>
      <c r="AF58" s="142"/>
      <c r="AG58" s="142"/>
      <c r="AH58" s="142"/>
      <c r="AI58" s="203">
        <v>11</v>
      </c>
    </row>
    <row r="59" spans="1:35" s="203" customFormat="1" ht="11.45" customHeight="1">
      <c r="A59" s="572"/>
      <c r="B59" s="68"/>
      <c r="C59" s="68"/>
      <c r="N59" s="63"/>
      <c r="O59" s="68"/>
      <c r="P59" s="68"/>
      <c r="Q59" s="63"/>
      <c r="R59" s="63"/>
      <c r="S59" s="63"/>
      <c r="T59" s="63"/>
      <c r="U59" s="68"/>
      <c r="V59" s="63"/>
      <c r="W59" s="63"/>
      <c r="X59" s="309"/>
      <c r="Y59" s="63"/>
      <c r="Z59" s="63"/>
      <c r="AA59" s="63"/>
      <c r="AB59" s="63"/>
      <c r="AC59" s="63"/>
      <c r="AD59" s="8"/>
      <c r="AE59" s="142"/>
      <c r="AF59" s="142"/>
      <c r="AG59" s="142"/>
      <c r="AH59" s="142"/>
      <c r="AI59" s="203">
        <v>11</v>
      </c>
    </row>
    <row r="60" spans="1:35" s="203" customFormat="1" ht="11.45" customHeight="1">
      <c r="A60" s="572"/>
      <c r="B60" s="68"/>
      <c r="C60" s="68"/>
      <c r="N60" s="63"/>
      <c r="O60" s="68"/>
      <c r="P60" s="68"/>
      <c r="Q60" s="63"/>
      <c r="R60" s="63"/>
      <c r="S60" s="63"/>
      <c r="T60" s="63"/>
      <c r="U60" s="68"/>
      <c r="V60" s="63"/>
      <c r="W60" s="63"/>
      <c r="X60" s="309"/>
      <c r="Y60" s="63"/>
      <c r="Z60" s="63"/>
      <c r="AA60" s="63"/>
      <c r="AB60" s="63"/>
      <c r="AC60" s="63"/>
      <c r="AD60" s="8"/>
      <c r="AE60" s="142"/>
      <c r="AF60" s="142"/>
      <c r="AG60" s="142"/>
      <c r="AH60" s="142"/>
      <c r="AI60" s="203">
        <v>11</v>
      </c>
    </row>
    <row r="61" spans="1:35" s="203" customFormat="1" ht="11.45" customHeight="1">
      <c r="A61" s="572"/>
      <c r="B61" s="68"/>
      <c r="C61" s="68"/>
      <c r="N61" s="63"/>
      <c r="O61" s="68"/>
      <c r="P61" s="68"/>
      <c r="Q61" s="63"/>
      <c r="R61" s="63"/>
      <c r="S61" s="63"/>
      <c r="T61" s="63"/>
      <c r="U61" s="68"/>
      <c r="V61" s="63"/>
      <c r="W61" s="63"/>
      <c r="X61" s="309"/>
      <c r="Y61" s="63"/>
      <c r="Z61" s="63"/>
      <c r="AA61" s="63"/>
      <c r="AB61" s="63"/>
      <c r="AC61" s="63"/>
      <c r="AD61" s="8"/>
      <c r="AE61" s="142"/>
      <c r="AF61" s="142"/>
      <c r="AG61" s="142"/>
      <c r="AH61" s="142"/>
      <c r="AI61" s="203">
        <v>11</v>
      </c>
    </row>
    <row r="62" spans="1:35" s="203" customFormat="1" ht="11.45" customHeight="1">
      <c r="A62" s="572"/>
      <c r="B62" s="68"/>
      <c r="C62" s="68"/>
      <c r="N62" s="63"/>
      <c r="O62" s="68"/>
      <c r="P62" s="68"/>
      <c r="Q62" s="63"/>
      <c r="R62" s="63"/>
      <c r="S62" s="63"/>
      <c r="T62" s="63"/>
      <c r="U62" s="68"/>
      <c r="V62" s="63"/>
      <c r="W62" s="63"/>
      <c r="X62" s="309"/>
      <c r="Y62" s="63"/>
      <c r="Z62" s="63"/>
      <c r="AA62" s="63"/>
      <c r="AB62" s="63"/>
      <c r="AC62" s="63"/>
      <c r="AD62" s="8"/>
      <c r="AE62" s="142"/>
      <c r="AF62" s="142"/>
      <c r="AG62" s="142"/>
      <c r="AH62" s="142"/>
      <c r="AI62" s="203">
        <v>11</v>
      </c>
    </row>
    <row r="63" spans="1:35" s="203" customFormat="1" ht="11.45" customHeight="1">
      <c r="A63" s="572"/>
      <c r="B63" s="68"/>
      <c r="C63" s="68"/>
      <c r="N63" s="63"/>
      <c r="O63" s="68"/>
      <c r="P63" s="68"/>
      <c r="Q63" s="63"/>
      <c r="R63" s="63"/>
      <c r="S63" s="63"/>
      <c r="T63" s="63"/>
      <c r="U63" s="68"/>
      <c r="V63" s="63"/>
      <c r="W63" s="63"/>
      <c r="X63" s="309"/>
      <c r="Y63" s="63"/>
      <c r="Z63" s="63"/>
      <c r="AA63" s="63"/>
      <c r="AB63" s="63"/>
      <c r="AC63" s="63"/>
      <c r="AD63" s="8"/>
      <c r="AE63" s="142"/>
      <c r="AF63" s="142"/>
      <c r="AG63" s="142"/>
      <c r="AH63" s="142"/>
      <c r="AI63" s="203">
        <v>11</v>
      </c>
    </row>
    <row r="64" spans="1:35" s="203" customFormat="1" ht="11.45" customHeight="1">
      <c r="A64" s="572"/>
      <c r="B64" s="68"/>
      <c r="C64" s="68"/>
      <c r="N64" s="63"/>
      <c r="O64" s="68"/>
      <c r="P64" s="68"/>
      <c r="Q64" s="63"/>
      <c r="R64" s="63"/>
      <c r="S64" s="63"/>
      <c r="T64" s="63"/>
      <c r="U64" s="68"/>
      <c r="V64" s="63"/>
      <c r="W64" s="63"/>
      <c r="X64" s="309"/>
      <c r="Y64" s="63"/>
      <c r="Z64" s="63"/>
      <c r="AA64" s="63"/>
      <c r="AB64" s="63"/>
      <c r="AC64" s="63"/>
      <c r="AD64" s="8"/>
      <c r="AE64" s="142"/>
      <c r="AF64" s="142"/>
      <c r="AG64" s="142"/>
      <c r="AH64" s="142"/>
      <c r="AI64" s="203">
        <v>11</v>
      </c>
    </row>
    <row r="65" spans="1:35" s="203" customFormat="1" ht="11.45" customHeight="1">
      <c r="A65" s="572"/>
      <c r="B65" s="68"/>
      <c r="C65" s="68"/>
      <c r="N65" s="63"/>
      <c r="O65" s="68"/>
      <c r="P65" s="68"/>
      <c r="Q65" s="63"/>
      <c r="R65" s="63"/>
      <c r="S65" s="63"/>
      <c r="T65" s="63"/>
      <c r="U65" s="68"/>
      <c r="V65" s="63"/>
      <c r="W65" s="63"/>
      <c r="X65" s="309"/>
      <c r="Y65" s="63"/>
      <c r="Z65" s="63"/>
      <c r="AA65" s="63"/>
      <c r="AB65" s="63"/>
      <c r="AC65" s="63"/>
      <c r="AD65" s="8"/>
      <c r="AE65" s="142"/>
      <c r="AF65" s="142"/>
      <c r="AG65" s="142"/>
      <c r="AH65" s="142"/>
      <c r="AI65" s="203">
        <v>11</v>
      </c>
    </row>
    <row r="66" spans="1:35" s="203" customFormat="1" ht="11.45" customHeight="1">
      <c r="A66" s="572"/>
      <c r="B66" s="68"/>
      <c r="C66" s="68"/>
      <c r="N66" s="63"/>
      <c r="O66" s="68"/>
      <c r="P66" s="68"/>
      <c r="Q66" s="63"/>
      <c r="R66" s="63"/>
      <c r="S66" s="63"/>
      <c r="T66" s="63"/>
      <c r="U66" s="68"/>
      <c r="V66" s="63"/>
      <c r="W66" s="63"/>
      <c r="X66" s="309"/>
      <c r="Y66" s="63"/>
      <c r="Z66" s="63"/>
      <c r="AA66" s="63"/>
      <c r="AB66" s="63"/>
      <c r="AC66" s="63"/>
      <c r="AD66" s="8"/>
      <c r="AE66" s="142"/>
      <c r="AF66" s="142"/>
      <c r="AG66" s="142"/>
      <c r="AH66" s="142"/>
      <c r="AI66" s="203">
        <v>11</v>
      </c>
    </row>
    <row r="67" spans="1:35" s="203" customFormat="1" ht="11.45" customHeight="1">
      <c r="A67" s="572"/>
      <c r="B67" s="68"/>
      <c r="C67" s="68"/>
      <c r="N67" s="63"/>
      <c r="O67" s="68"/>
      <c r="P67" s="68"/>
      <c r="Q67" s="63"/>
      <c r="R67" s="63"/>
      <c r="S67" s="63"/>
      <c r="T67" s="63"/>
      <c r="U67" s="68"/>
      <c r="V67" s="63"/>
      <c r="W67" s="63"/>
      <c r="X67" s="309"/>
      <c r="Y67" s="63"/>
      <c r="Z67" s="63"/>
      <c r="AA67" s="63"/>
      <c r="AB67" s="63"/>
      <c r="AC67" s="63"/>
      <c r="AD67" s="8"/>
      <c r="AE67" s="142"/>
      <c r="AF67" s="142"/>
      <c r="AG67" s="142"/>
      <c r="AH67" s="142"/>
      <c r="AI67" s="203">
        <v>11</v>
      </c>
    </row>
    <row r="68" spans="1:35" s="203" customFormat="1" ht="11.45" customHeight="1">
      <c r="A68" s="572"/>
      <c r="B68" s="68"/>
      <c r="C68" s="68"/>
      <c r="N68" s="63"/>
      <c r="O68" s="68"/>
      <c r="P68" s="68"/>
      <c r="Q68" s="63"/>
      <c r="R68" s="63"/>
      <c r="S68" s="63"/>
      <c r="T68" s="63"/>
      <c r="U68" s="68"/>
      <c r="V68" s="63"/>
      <c r="W68" s="63"/>
      <c r="X68" s="309"/>
      <c r="Y68" s="63"/>
      <c r="Z68" s="63"/>
      <c r="AA68" s="63"/>
      <c r="AB68" s="63"/>
      <c r="AC68" s="63"/>
      <c r="AD68" s="8"/>
      <c r="AE68" s="142"/>
      <c r="AF68" s="142"/>
      <c r="AG68" s="142"/>
      <c r="AH68" s="142"/>
      <c r="AI68" s="203">
        <v>11</v>
      </c>
    </row>
    <row r="69" spans="1:35" s="203" customFormat="1" ht="11.45" customHeight="1">
      <c r="A69" s="572"/>
      <c r="B69" s="68"/>
      <c r="C69" s="68"/>
      <c r="N69" s="63"/>
      <c r="O69" s="68"/>
      <c r="P69" s="68"/>
      <c r="Q69" s="63"/>
      <c r="R69" s="63"/>
      <c r="S69" s="63"/>
      <c r="T69" s="63"/>
      <c r="U69" s="68"/>
      <c r="V69" s="63"/>
      <c r="W69" s="63"/>
      <c r="X69" s="309"/>
      <c r="Y69" s="63"/>
      <c r="Z69" s="63"/>
      <c r="AA69" s="63"/>
      <c r="AB69" s="63"/>
      <c r="AC69" s="63"/>
      <c r="AD69" s="8"/>
      <c r="AE69" s="142"/>
      <c r="AF69" s="142"/>
      <c r="AG69" s="142"/>
      <c r="AH69" s="142"/>
      <c r="AI69" s="203">
        <v>11</v>
      </c>
    </row>
    <row r="70" spans="1:35" s="203" customFormat="1" ht="11.45" customHeight="1">
      <c r="A70" s="572"/>
      <c r="B70" s="68"/>
      <c r="C70" s="68"/>
      <c r="N70" s="63"/>
      <c r="O70" s="68"/>
      <c r="P70" s="68"/>
      <c r="Q70" s="63"/>
      <c r="R70" s="63"/>
      <c r="S70" s="63"/>
      <c r="T70" s="63"/>
      <c r="U70" s="68"/>
      <c r="V70" s="63"/>
      <c r="W70" s="63"/>
      <c r="X70" s="309"/>
      <c r="Y70" s="63"/>
      <c r="Z70" s="63"/>
      <c r="AA70" s="63"/>
      <c r="AB70" s="63"/>
      <c r="AC70" s="63"/>
      <c r="AD70" s="8"/>
      <c r="AE70" s="142"/>
      <c r="AF70" s="142"/>
      <c r="AG70" s="142"/>
      <c r="AH70" s="142"/>
      <c r="AI70" s="203">
        <v>11</v>
      </c>
    </row>
    <row r="71" spans="1:35" s="203" customFormat="1" ht="11.45" customHeight="1">
      <c r="A71" s="572"/>
      <c r="B71" s="68"/>
      <c r="C71" s="68"/>
      <c r="N71" s="63"/>
      <c r="O71" s="68"/>
      <c r="P71" s="68"/>
      <c r="Q71" s="63"/>
      <c r="R71" s="63"/>
      <c r="S71" s="63"/>
      <c r="T71" s="63"/>
      <c r="U71" s="68"/>
      <c r="V71" s="63"/>
      <c r="W71" s="63"/>
      <c r="X71" s="309"/>
      <c r="Y71" s="63"/>
      <c r="Z71" s="63"/>
      <c r="AA71" s="63"/>
      <c r="AB71" s="63"/>
      <c r="AC71" s="63"/>
      <c r="AD71" s="8"/>
      <c r="AE71" s="142"/>
      <c r="AF71" s="142"/>
      <c r="AG71" s="142"/>
      <c r="AH71" s="142"/>
      <c r="AI71" s="203">
        <v>11</v>
      </c>
    </row>
    <row r="72" spans="1:35" s="203" customFormat="1" ht="11.45" customHeight="1">
      <c r="A72" s="572"/>
      <c r="B72" s="68"/>
      <c r="C72" s="68"/>
      <c r="N72" s="63"/>
      <c r="O72" s="68"/>
      <c r="P72" s="68"/>
      <c r="Q72" s="63"/>
      <c r="R72" s="63"/>
      <c r="S72" s="63"/>
      <c r="T72" s="63"/>
      <c r="U72" s="68"/>
      <c r="V72" s="63"/>
      <c r="W72" s="63"/>
      <c r="X72" s="309"/>
      <c r="Y72" s="63"/>
      <c r="Z72" s="63"/>
      <c r="AA72" s="63"/>
      <c r="AB72" s="63"/>
      <c r="AC72" s="63"/>
      <c r="AD72" s="8"/>
      <c r="AE72" s="142"/>
      <c r="AF72" s="142"/>
      <c r="AG72" s="142"/>
      <c r="AH72" s="142"/>
      <c r="AI72" s="203">
        <v>11</v>
      </c>
    </row>
    <row r="73" spans="1:35" s="203" customFormat="1" ht="11.45" customHeight="1">
      <c r="A73" s="572"/>
      <c r="B73" s="68"/>
      <c r="C73" s="68"/>
      <c r="N73" s="63"/>
      <c r="O73" s="68"/>
      <c r="P73" s="68"/>
      <c r="Q73" s="63"/>
      <c r="R73" s="63"/>
      <c r="S73" s="63"/>
      <c r="T73" s="63"/>
      <c r="U73" s="68"/>
      <c r="V73" s="63"/>
      <c r="W73" s="63"/>
      <c r="X73" s="309"/>
      <c r="Y73" s="63"/>
      <c r="Z73" s="63"/>
      <c r="AA73" s="63"/>
      <c r="AB73" s="63"/>
      <c r="AC73" s="63"/>
      <c r="AD73" s="8"/>
      <c r="AE73" s="142"/>
      <c r="AF73" s="142"/>
      <c r="AG73" s="142"/>
      <c r="AH73" s="142"/>
      <c r="AI73" s="203">
        <v>11</v>
      </c>
    </row>
    <row r="74" spans="1:35" s="203" customFormat="1" ht="11.45" customHeight="1">
      <c r="A74" s="572"/>
      <c r="B74" s="68"/>
      <c r="C74" s="68"/>
      <c r="N74" s="63"/>
      <c r="O74" s="68"/>
      <c r="P74" s="68"/>
      <c r="Q74" s="63"/>
      <c r="R74" s="63"/>
      <c r="S74" s="63"/>
      <c r="T74" s="63"/>
      <c r="U74" s="68"/>
      <c r="V74" s="63"/>
      <c r="W74" s="63"/>
      <c r="X74" s="309"/>
      <c r="Y74" s="63"/>
      <c r="Z74" s="63"/>
      <c r="AA74" s="63"/>
      <c r="AB74" s="63"/>
      <c r="AC74" s="63"/>
      <c r="AD74" s="8"/>
      <c r="AE74" s="142"/>
      <c r="AF74" s="142"/>
      <c r="AG74" s="142"/>
      <c r="AH74" s="142"/>
      <c r="AI74" s="203">
        <v>11</v>
      </c>
    </row>
    <row r="75" spans="1:35" s="203" customFormat="1" ht="11.45" customHeight="1">
      <c r="A75" s="572"/>
      <c r="B75" s="68"/>
      <c r="C75" s="68"/>
      <c r="N75" s="63"/>
      <c r="O75" s="68"/>
      <c r="P75" s="68"/>
      <c r="Q75" s="63"/>
      <c r="R75" s="63"/>
      <c r="S75" s="63"/>
      <c r="T75" s="63"/>
      <c r="U75" s="68"/>
      <c r="V75" s="63"/>
      <c r="W75" s="63"/>
      <c r="X75" s="309"/>
      <c r="Y75" s="63"/>
      <c r="Z75" s="63"/>
      <c r="AA75" s="63"/>
      <c r="AB75" s="63"/>
      <c r="AC75" s="63"/>
      <c r="AD75" s="8"/>
      <c r="AE75" s="142"/>
      <c r="AF75" s="142"/>
      <c r="AG75" s="142"/>
      <c r="AH75" s="142"/>
      <c r="AI75" s="203">
        <v>11</v>
      </c>
    </row>
    <row r="76" spans="1:35" s="203" customFormat="1" ht="11.45" customHeight="1">
      <c r="A76" s="572"/>
      <c r="B76" s="68"/>
      <c r="C76" s="68"/>
      <c r="N76" s="63"/>
      <c r="O76" s="68"/>
      <c r="P76" s="68"/>
      <c r="Q76" s="63"/>
      <c r="R76" s="63"/>
      <c r="S76" s="63"/>
      <c r="T76" s="63"/>
      <c r="U76" s="68"/>
      <c r="V76" s="63"/>
      <c r="W76" s="63"/>
      <c r="X76" s="309"/>
      <c r="Y76" s="63"/>
      <c r="Z76" s="63"/>
      <c r="AA76" s="63"/>
      <c r="AB76" s="63"/>
      <c r="AC76" s="63"/>
      <c r="AD76" s="8"/>
      <c r="AE76" s="142"/>
      <c r="AF76" s="142"/>
      <c r="AG76" s="142"/>
      <c r="AH76" s="142"/>
      <c r="AI76" s="203">
        <v>11</v>
      </c>
    </row>
    <row r="77" spans="1:35" s="203" customFormat="1" ht="11.45" customHeight="1">
      <c r="A77" s="572"/>
      <c r="B77" s="68"/>
      <c r="C77" s="68"/>
      <c r="N77" s="63"/>
      <c r="O77" s="68"/>
      <c r="P77" s="68"/>
      <c r="Q77" s="63"/>
      <c r="R77" s="63"/>
      <c r="S77" s="63"/>
      <c r="T77" s="63"/>
      <c r="U77" s="68"/>
      <c r="V77" s="63"/>
      <c r="W77" s="63"/>
      <c r="X77" s="309"/>
      <c r="Y77" s="63"/>
      <c r="Z77" s="63"/>
      <c r="AA77" s="63"/>
      <c r="AB77" s="63"/>
      <c r="AC77" s="63"/>
      <c r="AD77" s="8"/>
      <c r="AE77" s="142"/>
      <c r="AF77" s="142"/>
      <c r="AG77" s="142"/>
      <c r="AH77" s="142"/>
      <c r="AI77" s="203">
        <v>11</v>
      </c>
    </row>
    <row r="78" spans="1:35" s="203" customFormat="1" ht="11.45" customHeight="1">
      <c r="A78" s="572"/>
      <c r="B78" s="68"/>
      <c r="C78" s="68"/>
      <c r="N78" s="63"/>
      <c r="O78" s="68"/>
      <c r="P78" s="68"/>
      <c r="Q78" s="63"/>
      <c r="R78" s="63"/>
      <c r="S78" s="63"/>
      <c r="T78" s="63"/>
      <c r="U78" s="68"/>
      <c r="V78" s="63"/>
      <c r="W78" s="63"/>
      <c r="X78" s="309"/>
      <c r="Y78" s="63"/>
      <c r="Z78" s="63"/>
      <c r="AA78" s="63"/>
      <c r="AB78" s="63"/>
      <c r="AC78" s="63"/>
      <c r="AD78" s="8"/>
      <c r="AE78" s="142"/>
      <c r="AF78" s="142"/>
      <c r="AG78" s="142"/>
      <c r="AH78" s="142"/>
      <c r="AI78" s="203">
        <v>11</v>
      </c>
    </row>
    <row r="79" spans="1:35" s="203" customFormat="1" ht="11.45" customHeight="1">
      <c r="A79" s="572"/>
      <c r="B79" s="68"/>
      <c r="C79" s="68"/>
      <c r="N79" s="63"/>
      <c r="O79" s="68"/>
      <c r="P79" s="68"/>
      <c r="Q79" s="63"/>
      <c r="R79" s="63"/>
      <c r="S79" s="63"/>
      <c r="T79" s="63"/>
      <c r="U79" s="68"/>
      <c r="V79" s="63"/>
      <c r="W79" s="63"/>
      <c r="X79" s="309"/>
      <c r="Y79" s="63"/>
      <c r="Z79" s="63"/>
      <c r="AA79" s="63"/>
      <c r="AB79" s="63"/>
      <c r="AC79" s="63"/>
      <c r="AD79" s="8"/>
      <c r="AE79" s="142"/>
      <c r="AF79" s="142"/>
      <c r="AG79" s="142"/>
      <c r="AH79" s="142"/>
      <c r="AI79" s="203">
        <v>11</v>
      </c>
    </row>
    <row r="80" spans="1:35" s="203" customFormat="1" ht="11.45" customHeight="1">
      <c r="A80" s="572"/>
      <c r="B80" s="68"/>
      <c r="C80" s="68"/>
      <c r="N80" s="63"/>
      <c r="O80" s="68"/>
      <c r="P80" s="68"/>
      <c r="Q80" s="63"/>
      <c r="R80" s="63"/>
      <c r="S80" s="63"/>
      <c r="T80" s="63"/>
      <c r="U80" s="68"/>
      <c r="V80" s="63"/>
      <c r="W80" s="63"/>
      <c r="X80" s="309"/>
      <c r="Y80" s="63"/>
      <c r="Z80" s="63"/>
      <c r="AA80" s="63"/>
      <c r="AB80" s="63"/>
      <c r="AC80" s="63"/>
      <c r="AD80" s="8"/>
      <c r="AE80" s="142"/>
      <c r="AF80" s="142"/>
      <c r="AG80" s="142"/>
      <c r="AH80" s="142"/>
      <c r="AI80" s="203">
        <v>11</v>
      </c>
    </row>
    <row r="81" spans="1:35" s="203" customFormat="1" ht="11.45" customHeight="1">
      <c r="A81" s="572"/>
      <c r="B81" s="68"/>
      <c r="C81" s="68"/>
      <c r="N81" s="63"/>
      <c r="O81" s="68"/>
      <c r="P81" s="68"/>
      <c r="Q81" s="63"/>
      <c r="R81" s="63"/>
      <c r="S81" s="63"/>
      <c r="T81" s="63"/>
      <c r="U81" s="68"/>
      <c r="V81" s="63"/>
      <c r="W81" s="63"/>
      <c r="X81" s="309"/>
      <c r="Y81" s="63"/>
      <c r="Z81" s="63"/>
      <c r="AA81" s="63"/>
      <c r="AB81" s="63"/>
      <c r="AC81" s="63"/>
      <c r="AD81" s="8"/>
      <c r="AE81" s="142"/>
      <c r="AF81" s="142"/>
      <c r="AG81" s="142"/>
      <c r="AH81" s="142"/>
      <c r="AI81" s="203">
        <v>11</v>
      </c>
    </row>
    <row r="82" spans="1:35" s="203" customFormat="1" ht="11.45" customHeight="1">
      <c r="A82" s="572"/>
      <c r="B82" s="68"/>
      <c r="C82" s="68"/>
      <c r="N82" s="63"/>
      <c r="O82" s="68"/>
      <c r="P82" s="68"/>
      <c r="Q82" s="63"/>
      <c r="R82" s="63"/>
      <c r="S82" s="63"/>
      <c r="T82" s="63"/>
      <c r="U82" s="68"/>
      <c r="V82" s="63"/>
      <c r="W82" s="63"/>
      <c r="X82" s="309"/>
      <c r="Y82" s="63"/>
      <c r="Z82" s="63"/>
      <c r="AA82" s="63"/>
      <c r="AB82" s="63"/>
      <c r="AC82" s="63"/>
      <c r="AD82" s="8"/>
      <c r="AE82" s="142"/>
      <c r="AF82" s="142"/>
      <c r="AG82" s="142"/>
      <c r="AH82" s="142"/>
      <c r="AI82" s="203">
        <v>11</v>
      </c>
    </row>
    <row r="83" spans="1:35" s="203" customFormat="1" ht="11.45" customHeight="1">
      <c r="A83" s="572"/>
      <c r="B83" s="68"/>
      <c r="C83" s="68"/>
      <c r="N83" s="63"/>
      <c r="O83" s="68"/>
      <c r="P83" s="68"/>
      <c r="Q83" s="63"/>
      <c r="R83" s="63"/>
      <c r="S83" s="63"/>
      <c r="T83" s="63"/>
      <c r="U83" s="68"/>
      <c r="V83" s="63"/>
      <c r="W83" s="63"/>
      <c r="X83" s="309"/>
      <c r="Y83" s="63"/>
      <c r="Z83" s="63"/>
      <c r="AA83" s="63"/>
      <c r="AB83" s="63"/>
      <c r="AC83" s="63"/>
      <c r="AD83" s="8"/>
      <c r="AE83" s="142"/>
      <c r="AF83" s="142"/>
      <c r="AG83" s="142"/>
      <c r="AH83" s="142"/>
      <c r="AI83" s="203">
        <v>11</v>
      </c>
    </row>
    <row r="84" spans="1:35" s="203" customFormat="1" ht="11.45" customHeight="1">
      <c r="A84" s="572"/>
      <c r="B84" s="68"/>
      <c r="C84" s="68"/>
      <c r="N84" s="63"/>
      <c r="O84" s="68"/>
      <c r="P84" s="68"/>
      <c r="Q84" s="63"/>
      <c r="R84" s="63"/>
      <c r="S84" s="63"/>
      <c r="T84" s="63"/>
      <c r="U84" s="68"/>
      <c r="V84" s="63"/>
      <c r="W84" s="63"/>
      <c r="X84" s="309"/>
      <c r="Y84" s="63"/>
      <c r="Z84" s="63"/>
      <c r="AA84" s="63"/>
      <c r="AB84" s="63"/>
      <c r="AC84" s="63"/>
      <c r="AD84" s="8"/>
      <c r="AE84" s="142"/>
      <c r="AF84" s="142"/>
      <c r="AG84" s="142"/>
      <c r="AH84" s="142"/>
      <c r="AI84" s="203">
        <v>11</v>
      </c>
    </row>
    <row r="85" spans="1:35" s="203" customFormat="1" ht="11.45" customHeight="1">
      <c r="A85" s="572"/>
      <c r="B85" s="68"/>
      <c r="C85" s="68"/>
      <c r="N85" s="63"/>
      <c r="O85" s="68"/>
      <c r="P85" s="68"/>
      <c r="Q85" s="63"/>
      <c r="R85" s="63"/>
      <c r="S85" s="63"/>
      <c r="T85" s="63"/>
      <c r="U85" s="68"/>
      <c r="V85" s="63"/>
      <c r="W85" s="63"/>
      <c r="X85" s="309"/>
      <c r="Y85" s="63"/>
      <c r="Z85" s="63"/>
      <c r="AA85" s="63"/>
      <c r="AB85" s="63"/>
      <c r="AC85" s="63"/>
      <c r="AD85" s="8"/>
      <c r="AE85" s="142"/>
      <c r="AF85" s="142"/>
      <c r="AG85" s="142"/>
      <c r="AH85" s="142"/>
      <c r="AI85" s="203">
        <v>11</v>
      </c>
    </row>
    <row r="86" spans="1:35" s="203" customFormat="1" ht="11.45" customHeight="1">
      <c r="A86" s="572"/>
      <c r="B86" s="68"/>
      <c r="C86" s="68"/>
      <c r="N86" s="63"/>
      <c r="O86" s="68"/>
      <c r="P86" s="68"/>
      <c r="Q86" s="63"/>
      <c r="R86" s="63"/>
      <c r="S86" s="63"/>
      <c r="T86" s="63"/>
      <c r="U86" s="68"/>
      <c r="V86" s="63"/>
      <c r="W86" s="63"/>
      <c r="X86" s="309"/>
      <c r="Y86" s="63"/>
      <c r="Z86" s="63"/>
      <c r="AA86" s="63"/>
      <c r="AB86" s="63"/>
      <c r="AC86" s="63"/>
      <c r="AD86" s="8"/>
      <c r="AE86" s="142"/>
      <c r="AF86" s="142"/>
      <c r="AG86" s="142"/>
      <c r="AH86" s="142"/>
      <c r="AI86" s="203">
        <v>11</v>
      </c>
    </row>
    <row r="87" spans="1:35" s="203" customFormat="1" ht="11.45" customHeight="1">
      <c r="A87" s="572"/>
      <c r="B87" s="68"/>
      <c r="C87" s="68"/>
      <c r="N87" s="63"/>
      <c r="O87" s="68"/>
      <c r="P87" s="68"/>
      <c r="Q87" s="63"/>
      <c r="R87" s="63"/>
      <c r="S87" s="63"/>
      <c r="T87" s="63"/>
      <c r="U87" s="68"/>
      <c r="V87" s="63"/>
      <c r="W87" s="63"/>
      <c r="X87" s="309"/>
      <c r="Y87" s="63"/>
      <c r="Z87" s="63"/>
      <c r="AA87" s="63"/>
      <c r="AB87" s="63"/>
      <c r="AC87" s="63"/>
      <c r="AD87" s="8"/>
      <c r="AE87" s="142"/>
      <c r="AF87" s="142"/>
      <c r="AG87" s="142"/>
      <c r="AH87" s="142"/>
      <c r="AI87" s="203">
        <v>11</v>
      </c>
    </row>
    <row r="88" spans="1:35" s="203" customFormat="1" ht="11.45" customHeight="1">
      <c r="A88" s="572"/>
      <c r="B88" s="68"/>
      <c r="C88" s="68"/>
      <c r="N88" s="63"/>
      <c r="O88" s="68"/>
      <c r="P88" s="68"/>
      <c r="Q88" s="63"/>
      <c r="R88" s="63"/>
      <c r="S88" s="63"/>
      <c r="T88" s="63"/>
      <c r="U88" s="68"/>
      <c r="V88" s="63"/>
      <c r="W88" s="63"/>
      <c r="X88" s="309"/>
      <c r="Y88" s="63"/>
      <c r="Z88" s="63"/>
      <c r="AA88" s="63"/>
      <c r="AB88" s="63"/>
      <c r="AC88" s="63"/>
      <c r="AD88" s="8"/>
      <c r="AE88" s="142"/>
      <c r="AF88" s="142"/>
      <c r="AG88" s="142"/>
      <c r="AH88" s="142"/>
      <c r="AI88" s="203">
        <v>11</v>
      </c>
    </row>
    <row r="89" spans="1:35" s="203" customFormat="1" ht="11.45" customHeight="1">
      <c r="A89" s="572"/>
      <c r="B89" s="68"/>
      <c r="C89" s="68"/>
      <c r="N89" s="63"/>
      <c r="O89" s="68"/>
      <c r="P89" s="68"/>
      <c r="Q89" s="63"/>
      <c r="R89" s="63"/>
      <c r="S89" s="63"/>
      <c r="T89" s="63"/>
      <c r="U89" s="68"/>
      <c r="V89" s="63"/>
      <c r="W89" s="63"/>
      <c r="X89" s="309"/>
      <c r="Y89" s="63"/>
      <c r="Z89" s="63"/>
      <c r="AA89" s="63"/>
      <c r="AB89" s="63"/>
      <c r="AC89" s="63"/>
      <c r="AD89" s="8"/>
      <c r="AE89" s="142"/>
      <c r="AF89" s="142"/>
      <c r="AG89" s="142"/>
      <c r="AH89" s="142"/>
      <c r="AI89" s="203">
        <v>11</v>
      </c>
    </row>
    <row r="90" spans="1:35" s="203" customFormat="1" ht="11.45" customHeight="1">
      <c r="A90" s="572"/>
      <c r="B90" s="68"/>
      <c r="C90" s="68"/>
      <c r="N90" s="63"/>
      <c r="O90" s="68"/>
      <c r="P90" s="68"/>
      <c r="Q90" s="63"/>
      <c r="R90" s="63"/>
      <c r="S90" s="63"/>
      <c r="T90" s="63"/>
      <c r="U90" s="68"/>
      <c r="V90" s="63"/>
      <c r="W90" s="63"/>
      <c r="X90" s="309"/>
      <c r="Y90" s="63"/>
      <c r="Z90" s="63"/>
      <c r="AA90" s="63"/>
      <c r="AB90" s="63"/>
      <c r="AC90" s="63"/>
      <c r="AD90" s="8"/>
      <c r="AE90" s="142"/>
      <c r="AF90" s="142"/>
      <c r="AG90" s="142"/>
      <c r="AH90" s="142"/>
      <c r="AI90" s="203">
        <v>11</v>
      </c>
    </row>
    <row r="91" spans="1:35" s="203" customFormat="1" ht="11.45" customHeight="1">
      <c r="A91" s="572"/>
      <c r="B91" s="68"/>
      <c r="C91" s="68"/>
      <c r="N91" s="63"/>
      <c r="O91" s="68"/>
      <c r="P91" s="68"/>
      <c r="Q91" s="63"/>
      <c r="R91" s="63"/>
      <c r="S91" s="63"/>
      <c r="T91" s="63"/>
      <c r="U91" s="68"/>
      <c r="V91" s="63"/>
      <c r="W91" s="63"/>
      <c r="X91" s="309"/>
      <c r="Y91" s="63"/>
      <c r="Z91" s="63"/>
      <c r="AA91" s="63"/>
      <c r="AB91" s="63"/>
      <c r="AC91" s="63"/>
      <c r="AD91" s="8"/>
      <c r="AE91" s="142"/>
      <c r="AF91" s="142"/>
      <c r="AG91" s="142"/>
      <c r="AH91" s="142"/>
      <c r="AI91" s="203">
        <v>11</v>
      </c>
    </row>
    <row r="92" spans="1:35" s="203" customFormat="1" ht="11.45" customHeight="1">
      <c r="A92" s="572"/>
      <c r="B92" s="68"/>
      <c r="C92" s="68"/>
      <c r="N92" s="63"/>
      <c r="O92" s="68"/>
      <c r="P92" s="68"/>
      <c r="Q92" s="63"/>
      <c r="R92" s="63"/>
      <c r="S92" s="63"/>
      <c r="T92" s="63"/>
      <c r="U92" s="68"/>
      <c r="V92" s="63"/>
      <c r="W92" s="63"/>
      <c r="X92" s="309"/>
      <c r="Y92" s="63"/>
      <c r="Z92" s="63"/>
      <c r="AA92" s="63"/>
      <c r="AB92" s="63"/>
      <c r="AC92" s="63"/>
      <c r="AD92" s="8"/>
      <c r="AE92" s="142"/>
      <c r="AF92" s="142"/>
      <c r="AG92" s="142"/>
      <c r="AH92" s="142"/>
      <c r="AI92" s="203">
        <v>11</v>
      </c>
    </row>
    <row r="93" spans="1:35" s="203" customFormat="1" ht="11.45" customHeight="1">
      <c r="A93" s="572"/>
      <c r="B93" s="68"/>
      <c r="C93" s="68"/>
      <c r="N93" s="63"/>
      <c r="O93" s="68"/>
      <c r="P93" s="68"/>
      <c r="Q93" s="63"/>
      <c r="R93" s="63"/>
      <c r="S93" s="63"/>
      <c r="T93" s="63"/>
      <c r="U93" s="68"/>
      <c r="V93" s="63"/>
      <c r="W93" s="63"/>
      <c r="X93" s="309"/>
      <c r="Y93" s="63"/>
      <c r="Z93" s="63"/>
      <c r="AA93" s="63"/>
      <c r="AB93" s="63"/>
      <c r="AC93" s="63"/>
      <c r="AD93" s="8"/>
      <c r="AE93" s="142"/>
      <c r="AF93" s="142"/>
      <c r="AG93" s="142"/>
      <c r="AH93" s="142"/>
      <c r="AI93" s="203">
        <v>11</v>
      </c>
    </row>
    <row r="94" spans="1:35" s="203" customFormat="1" ht="11.45" customHeight="1">
      <c r="A94" s="572"/>
      <c r="B94" s="68"/>
      <c r="C94" s="68"/>
      <c r="N94" s="63"/>
      <c r="O94" s="68"/>
      <c r="P94" s="68"/>
      <c r="Q94" s="63"/>
      <c r="R94" s="63"/>
      <c r="S94" s="63"/>
      <c r="T94" s="63"/>
      <c r="U94" s="68"/>
      <c r="V94" s="63"/>
      <c r="W94" s="63"/>
      <c r="X94" s="309"/>
      <c r="Y94" s="63"/>
      <c r="Z94" s="63"/>
      <c r="AA94" s="63"/>
      <c r="AB94" s="63"/>
      <c r="AC94" s="63"/>
      <c r="AD94" s="8"/>
      <c r="AE94" s="142"/>
      <c r="AF94" s="142"/>
      <c r="AG94" s="142"/>
      <c r="AH94" s="142"/>
      <c r="AI94" s="203">
        <v>11</v>
      </c>
    </row>
    <row r="95" spans="1:35" s="203" customFormat="1" ht="11.45" customHeight="1">
      <c r="A95" s="572"/>
      <c r="B95" s="68"/>
      <c r="C95" s="68"/>
      <c r="N95" s="63"/>
      <c r="O95" s="68"/>
      <c r="P95" s="68"/>
      <c r="Q95" s="63"/>
      <c r="R95" s="63"/>
      <c r="S95" s="63"/>
      <c r="T95" s="63"/>
      <c r="U95" s="68"/>
      <c r="V95" s="63"/>
      <c r="W95" s="63"/>
      <c r="X95" s="309"/>
      <c r="Y95" s="63"/>
      <c r="Z95" s="63"/>
      <c r="AA95" s="63"/>
      <c r="AB95" s="63"/>
      <c r="AC95" s="63"/>
      <c r="AD95" s="8"/>
      <c r="AE95" s="142"/>
      <c r="AF95" s="142"/>
      <c r="AG95" s="142"/>
      <c r="AH95" s="142"/>
      <c r="AI95" s="203">
        <v>11</v>
      </c>
    </row>
    <row r="96" spans="1:35" s="203" customFormat="1" ht="11.45" customHeight="1">
      <c r="A96" s="572"/>
      <c r="B96" s="68"/>
      <c r="C96" s="68"/>
      <c r="N96" s="63"/>
      <c r="O96" s="68"/>
      <c r="P96" s="68"/>
      <c r="Q96" s="63"/>
      <c r="R96" s="63"/>
      <c r="S96" s="63"/>
      <c r="T96" s="63"/>
      <c r="U96" s="68"/>
      <c r="V96" s="63"/>
      <c r="W96" s="63"/>
      <c r="X96" s="309"/>
      <c r="Y96" s="63"/>
      <c r="Z96" s="63"/>
      <c r="AA96" s="63"/>
      <c r="AB96" s="63"/>
      <c r="AC96" s="63"/>
      <c r="AD96" s="8"/>
      <c r="AE96" s="142"/>
      <c r="AF96" s="142"/>
      <c r="AG96" s="142"/>
      <c r="AH96" s="142"/>
      <c r="AI96" s="203">
        <v>11</v>
      </c>
    </row>
    <row r="97" spans="1:35" s="203" customFormat="1" ht="11.45" customHeight="1">
      <c r="A97" s="572"/>
      <c r="B97" s="68"/>
      <c r="C97" s="68"/>
      <c r="N97" s="63"/>
      <c r="O97" s="68"/>
      <c r="P97" s="68"/>
      <c r="Q97" s="63"/>
      <c r="R97" s="63"/>
      <c r="S97" s="63"/>
      <c r="T97" s="63"/>
      <c r="U97" s="68"/>
      <c r="V97" s="63"/>
      <c r="W97" s="63"/>
      <c r="X97" s="309"/>
      <c r="Y97" s="63"/>
      <c r="Z97" s="63"/>
      <c r="AA97" s="63"/>
      <c r="AB97" s="63"/>
      <c r="AC97" s="63"/>
      <c r="AD97" s="8"/>
      <c r="AE97" s="142"/>
      <c r="AF97" s="142"/>
      <c r="AG97" s="142"/>
      <c r="AH97" s="142"/>
      <c r="AI97" s="203">
        <v>11</v>
      </c>
    </row>
    <row r="98" spans="1:35" s="203" customFormat="1" ht="11.45" customHeight="1">
      <c r="A98" s="572"/>
      <c r="B98" s="68"/>
      <c r="C98" s="68"/>
      <c r="N98" s="63"/>
      <c r="O98" s="68"/>
      <c r="P98" s="68"/>
      <c r="Q98" s="63"/>
      <c r="R98" s="63"/>
      <c r="S98" s="63"/>
      <c r="T98" s="63"/>
      <c r="U98" s="68"/>
      <c r="V98" s="63"/>
      <c r="W98" s="63"/>
      <c r="X98" s="309"/>
      <c r="Y98" s="63"/>
      <c r="Z98" s="63"/>
      <c r="AA98" s="63"/>
      <c r="AB98" s="63"/>
      <c r="AC98" s="63"/>
      <c r="AD98" s="8"/>
      <c r="AE98" s="142"/>
      <c r="AF98" s="142"/>
      <c r="AG98" s="142"/>
      <c r="AH98" s="142"/>
      <c r="AI98" s="203">
        <v>11</v>
      </c>
    </row>
    <row r="99" spans="1:35" s="203" customFormat="1" ht="11.45" customHeight="1">
      <c r="A99" s="572"/>
      <c r="B99" s="68"/>
      <c r="C99" s="68"/>
      <c r="N99" s="63"/>
      <c r="O99" s="68"/>
      <c r="P99" s="68"/>
      <c r="Q99" s="63"/>
      <c r="R99" s="63"/>
      <c r="S99" s="63"/>
      <c r="T99" s="63"/>
      <c r="U99" s="68"/>
      <c r="V99" s="63"/>
      <c r="W99" s="63"/>
      <c r="X99" s="309"/>
      <c r="Y99" s="63"/>
      <c r="Z99" s="63"/>
      <c r="AA99" s="63"/>
      <c r="AB99" s="63"/>
      <c r="AC99" s="63"/>
      <c r="AD99" s="8"/>
      <c r="AE99" s="142"/>
      <c r="AF99" s="142"/>
      <c r="AG99" s="142"/>
      <c r="AH99" s="142"/>
      <c r="AI99" s="203">
        <v>11</v>
      </c>
    </row>
    <row r="100" spans="1:35" s="203" customFormat="1" ht="11.45" customHeight="1">
      <c r="A100" s="572"/>
      <c r="B100" s="68"/>
      <c r="C100" s="68"/>
      <c r="N100" s="63"/>
      <c r="O100" s="68"/>
      <c r="P100" s="68"/>
      <c r="Q100" s="63"/>
      <c r="R100" s="63"/>
      <c r="S100" s="63"/>
      <c r="T100" s="63"/>
      <c r="U100" s="68"/>
      <c r="V100" s="63"/>
      <c r="W100" s="63"/>
      <c r="X100" s="309"/>
      <c r="Y100" s="63"/>
      <c r="Z100" s="63"/>
      <c r="AA100" s="63"/>
      <c r="AB100" s="63"/>
      <c r="AC100" s="63"/>
      <c r="AD100" s="8"/>
      <c r="AE100" s="142"/>
      <c r="AF100" s="142"/>
      <c r="AG100" s="142"/>
      <c r="AH100" s="142"/>
      <c r="AI100" s="203">
        <v>11</v>
      </c>
    </row>
    <row r="101" spans="1:35" s="203" customFormat="1" ht="11.45" customHeight="1">
      <c r="A101" s="572"/>
      <c r="B101" s="68"/>
      <c r="C101" s="68"/>
      <c r="N101" s="63"/>
      <c r="O101" s="68"/>
      <c r="P101" s="68"/>
      <c r="Q101" s="63"/>
      <c r="R101" s="63"/>
      <c r="S101" s="63"/>
      <c r="T101" s="63"/>
      <c r="U101" s="68"/>
      <c r="V101" s="63"/>
      <c r="W101" s="63"/>
      <c r="X101" s="309"/>
      <c r="Y101" s="63"/>
      <c r="Z101" s="63"/>
      <c r="AA101" s="63"/>
      <c r="AB101" s="63"/>
      <c r="AC101" s="63"/>
      <c r="AD101" s="8"/>
      <c r="AE101" s="142"/>
      <c r="AF101" s="142"/>
      <c r="AG101" s="142"/>
      <c r="AH101" s="142"/>
      <c r="AI101" s="203">
        <v>11</v>
      </c>
    </row>
    <row r="102" spans="1:35" s="203" customFormat="1" ht="11.45" customHeight="1">
      <c r="A102" s="572"/>
      <c r="B102" s="68"/>
      <c r="C102" s="68"/>
      <c r="N102" s="63"/>
      <c r="O102" s="68"/>
      <c r="P102" s="68"/>
      <c r="Q102" s="63"/>
      <c r="R102" s="63"/>
      <c r="S102" s="63"/>
      <c r="T102" s="63"/>
      <c r="U102" s="68"/>
      <c r="V102" s="63"/>
      <c r="W102" s="63"/>
      <c r="X102" s="309"/>
      <c r="Y102" s="63"/>
      <c r="Z102" s="63"/>
      <c r="AA102" s="63"/>
      <c r="AB102" s="63"/>
      <c r="AC102" s="63"/>
      <c r="AD102" s="8"/>
      <c r="AE102" s="142"/>
      <c r="AF102" s="142"/>
      <c r="AG102" s="142"/>
      <c r="AH102" s="142"/>
      <c r="AI102" s="203">
        <v>11</v>
      </c>
    </row>
    <row r="103" spans="1:35" s="203" customFormat="1" ht="11.45" customHeight="1">
      <c r="A103" s="572"/>
      <c r="B103" s="68"/>
      <c r="C103" s="68"/>
      <c r="N103" s="63"/>
      <c r="O103" s="68"/>
      <c r="P103" s="68"/>
      <c r="Q103" s="63"/>
      <c r="R103" s="63"/>
      <c r="S103" s="63"/>
      <c r="T103" s="63"/>
      <c r="U103" s="68"/>
      <c r="V103" s="63"/>
      <c r="W103" s="63"/>
      <c r="X103" s="309"/>
      <c r="Y103" s="63"/>
      <c r="Z103" s="63"/>
      <c r="AA103" s="63"/>
      <c r="AB103" s="63"/>
      <c r="AC103" s="63"/>
      <c r="AD103" s="8"/>
      <c r="AE103" s="142"/>
      <c r="AF103" s="142"/>
      <c r="AG103" s="142"/>
      <c r="AH103" s="142"/>
      <c r="AI103" s="203">
        <v>11</v>
      </c>
    </row>
    <row r="104" spans="1:35" s="203" customFormat="1" ht="11.45" customHeight="1">
      <c r="A104" s="572"/>
      <c r="B104" s="68"/>
      <c r="C104" s="68"/>
      <c r="N104" s="63"/>
      <c r="O104" s="68"/>
      <c r="P104" s="68"/>
      <c r="Q104" s="63"/>
      <c r="R104" s="63"/>
      <c r="S104" s="63"/>
      <c r="T104" s="63"/>
      <c r="U104" s="68"/>
      <c r="V104" s="63"/>
      <c r="W104" s="63"/>
      <c r="X104" s="309"/>
      <c r="Y104" s="63"/>
      <c r="Z104" s="63"/>
      <c r="AA104" s="63"/>
      <c r="AB104" s="63"/>
      <c r="AC104" s="63"/>
      <c r="AD104" s="8"/>
      <c r="AE104" s="142"/>
      <c r="AF104" s="142"/>
      <c r="AG104" s="142"/>
      <c r="AH104" s="142"/>
      <c r="AI104" s="203">
        <v>11</v>
      </c>
    </row>
    <row r="105" spans="1:35" s="203" customFormat="1" ht="11.45" customHeight="1">
      <c r="A105" s="572"/>
      <c r="B105" s="68"/>
      <c r="C105" s="68"/>
      <c r="N105" s="63"/>
      <c r="O105" s="68"/>
      <c r="P105" s="68"/>
      <c r="Q105" s="63"/>
      <c r="R105" s="63"/>
      <c r="S105" s="63"/>
      <c r="T105" s="63"/>
      <c r="U105" s="68"/>
      <c r="V105" s="63"/>
      <c r="W105" s="63"/>
      <c r="X105" s="309"/>
      <c r="Y105" s="63"/>
      <c r="Z105" s="63"/>
      <c r="AA105" s="63"/>
      <c r="AB105" s="63"/>
      <c r="AC105" s="63"/>
      <c r="AD105" s="8"/>
      <c r="AE105" s="142"/>
      <c r="AF105" s="142"/>
      <c r="AG105" s="142"/>
      <c r="AH105" s="142"/>
      <c r="AI105" s="203">
        <v>11</v>
      </c>
    </row>
    <row r="106" spans="1:35" s="203" customFormat="1" ht="11.45" customHeight="1">
      <c r="A106" s="572"/>
      <c r="B106" s="68"/>
      <c r="C106" s="68"/>
      <c r="N106" s="63"/>
      <c r="O106" s="68"/>
      <c r="P106" s="68"/>
      <c r="Q106" s="63"/>
      <c r="R106" s="63"/>
      <c r="S106" s="63"/>
      <c r="T106" s="63"/>
      <c r="U106" s="68"/>
      <c r="V106" s="63"/>
      <c r="W106" s="63"/>
      <c r="X106" s="309"/>
      <c r="Y106" s="63"/>
      <c r="Z106" s="63"/>
      <c r="AA106" s="63"/>
      <c r="AB106" s="63"/>
      <c r="AC106" s="63"/>
      <c r="AD106" s="8"/>
      <c r="AE106" s="142"/>
      <c r="AF106" s="142"/>
      <c r="AG106" s="142"/>
      <c r="AH106" s="142"/>
      <c r="AI106" s="203">
        <v>11</v>
      </c>
    </row>
    <row r="107" spans="1:35" s="203" customFormat="1" ht="11.45" customHeight="1">
      <c r="A107" s="572"/>
      <c r="B107" s="68"/>
      <c r="C107" s="68"/>
      <c r="N107" s="63"/>
      <c r="O107" s="68"/>
      <c r="P107" s="68"/>
      <c r="Q107" s="63"/>
      <c r="R107" s="63"/>
      <c r="S107" s="63"/>
      <c r="T107" s="63"/>
      <c r="U107" s="68"/>
      <c r="V107" s="63"/>
      <c r="W107" s="63"/>
      <c r="X107" s="309"/>
      <c r="Y107" s="63"/>
      <c r="Z107" s="63"/>
      <c r="AA107" s="63"/>
      <c r="AB107" s="63"/>
      <c r="AC107" s="63"/>
      <c r="AD107" s="8"/>
      <c r="AE107" s="142"/>
      <c r="AF107" s="142"/>
      <c r="AG107" s="142"/>
      <c r="AH107" s="142"/>
      <c r="AI107" s="203">
        <v>11</v>
      </c>
    </row>
    <row r="108" spans="1:35" s="203" customFormat="1" ht="11.45" customHeight="1">
      <c r="A108" s="572"/>
      <c r="B108" s="68"/>
      <c r="C108" s="68"/>
      <c r="N108" s="63"/>
      <c r="O108" s="68"/>
      <c r="P108" s="68"/>
      <c r="Q108" s="63"/>
      <c r="R108" s="63"/>
      <c r="S108" s="63"/>
      <c r="T108" s="63"/>
      <c r="U108" s="68"/>
      <c r="V108" s="63"/>
      <c r="W108" s="63"/>
      <c r="X108" s="309"/>
      <c r="Y108" s="63"/>
      <c r="Z108" s="63"/>
      <c r="AA108" s="63"/>
      <c r="AB108" s="63"/>
      <c r="AC108" s="63"/>
      <c r="AD108" s="8"/>
      <c r="AE108" s="142"/>
      <c r="AF108" s="142"/>
      <c r="AG108" s="142"/>
      <c r="AH108" s="142"/>
      <c r="AI108" s="203">
        <v>11</v>
      </c>
    </row>
    <row r="109" spans="1:35" s="203" customFormat="1" ht="11.45" customHeight="1">
      <c r="A109" s="572"/>
      <c r="B109" s="68"/>
      <c r="C109" s="68"/>
      <c r="N109" s="63"/>
      <c r="O109" s="68"/>
      <c r="P109" s="68"/>
      <c r="Q109" s="63"/>
      <c r="R109" s="63"/>
      <c r="S109" s="63"/>
      <c r="T109" s="63"/>
      <c r="U109" s="68"/>
      <c r="V109" s="63"/>
      <c r="W109" s="63"/>
      <c r="X109" s="309"/>
      <c r="Y109" s="63"/>
      <c r="Z109" s="63"/>
      <c r="AA109" s="63"/>
      <c r="AB109" s="63"/>
      <c r="AC109" s="63"/>
      <c r="AD109" s="8"/>
      <c r="AE109" s="142"/>
      <c r="AF109" s="142"/>
      <c r="AG109" s="142"/>
      <c r="AH109" s="142"/>
      <c r="AI109" s="203">
        <v>11</v>
      </c>
    </row>
    <row r="110" spans="1:35" s="203" customFormat="1" ht="11.45" customHeight="1">
      <c r="A110" s="572"/>
      <c r="B110" s="68"/>
      <c r="C110" s="68"/>
      <c r="N110" s="63"/>
      <c r="O110" s="68"/>
      <c r="P110" s="68"/>
      <c r="Q110" s="63"/>
      <c r="R110" s="63"/>
      <c r="S110" s="63"/>
      <c r="T110" s="63"/>
      <c r="U110" s="68"/>
      <c r="V110" s="63"/>
      <c r="W110" s="63"/>
      <c r="X110" s="309"/>
      <c r="Y110" s="63"/>
      <c r="Z110" s="63"/>
      <c r="AA110" s="63"/>
      <c r="AB110" s="63"/>
      <c r="AC110" s="63"/>
      <c r="AD110" s="8"/>
      <c r="AE110" s="142"/>
      <c r="AF110" s="142"/>
      <c r="AG110" s="142"/>
      <c r="AH110" s="142"/>
      <c r="AI110" s="203">
        <v>11</v>
      </c>
    </row>
    <row r="111" spans="1:35" s="203" customFormat="1" ht="11.45" customHeight="1">
      <c r="A111" s="572"/>
      <c r="B111" s="68"/>
      <c r="C111" s="68"/>
      <c r="N111" s="63"/>
      <c r="O111" s="68"/>
      <c r="P111" s="68"/>
      <c r="Q111" s="63"/>
      <c r="R111" s="63"/>
      <c r="S111" s="63"/>
      <c r="T111" s="63"/>
      <c r="U111" s="68"/>
      <c r="V111" s="63"/>
      <c r="W111" s="63"/>
      <c r="X111" s="309"/>
      <c r="Y111" s="63"/>
      <c r="Z111" s="63"/>
      <c r="AA111" s="63"/>
      <c r="AB111" s="63"/>
      <c r="AC111" s="63"/>
      <c r="AD111" s="8"/>
      <c r="AE111" s="142"/>
      <c r="AF111" s="142"/>
      <c r="AG111" s="142"/>
      <c r="AH111" s="142"/>
      <c r="AI111" s="203">
        <v>11</v>
      </c>
    </row>
    <row r="112" spans="1:35" s="203" customFormat="1" ht="11.45" customHeight="1">
      <c r="A112" s="572"/>
      <c r="B112" s="68"/>
      <c r="C112" s="68"/>
      <c r="N112" s="63"/>
      <c r="O112" s="68"/>
      <c r="P112" s="68"/>
      <c r="Q112" s="63"/>
      <c r="R112" s="63"/>
      <c r="S112" s="63"/>
      <c r="T112" s="63"/>
      <c r="U112" s="68"/>
      <c r="V112" s="63"/>
      <c r="W112" s="63"/>
      <c r="X112" s="309"/>
      <c r="Y112" s="63"/>
      <c r="Z112" s="63"/>
      <c r="AA112" s="63"/>
      <c r="AB112" s="63"/>
      <c r="AC112" s="63"/>
      <c r="AD112" s="8"/>
      <c r="AE112" s="142"/>
      <c r="AF112" s="142"/>
      <c r="AG112" s="142"/>
      <c r="AH112" s="142"/>
      <c r="AI112" s="203">
        <v>11</v>
      </c>
    </row>
    <row r="113" spans="1:35" s="203" customFormat="1" ht="11.45" customHeight="1">
      <c r="A113" s="572"/>
      <c r="B113" s="68"/>
      <c r="C113" s="68"/>
      <c r="N113" s="63"/>
      <c r="O113" s="68"/>
      <c r="P113" s="68"/>
      <c r="Q113" s="63"/>
      <c r="R113" s="63"/>
      <c r="S113" s="63"/>
      <c r="T113" s="63"/>
      <c r="U113" s="68"/>
      <c r="V113" s="63"/>
      <c r="W113" s="63"/>
      <c r="X113" s="309"/>
      <c r="Y113" s="63"/>
      <c r="Z113" s="63"/>
      <c r="AA113" s="63"/>
      <c r="AB113" s="63"/>
      <c r="AC113" s="63"/>
      <c r="AD113" s="8"/>
      <c r="AE113" s="142"/>
      <c r="AF113" s="142"/>
      <c r="AG113" s="142"/>
      <c r="AH113" s="142"/>
      <c r="AI113" s="203">
        <v>11</v>
      </c>
    </row>
    <row r="114" spans="1:35" s="203" customFormat="1" ht="11.45" customHeight="1">
      <c r="A114" s="572"/>
      <c r="B114" s="68"/>
      <c r="C114" s="68"/>
      <c r="N114" s="63"/>
      <c r="O114" s="68"/>
      <c r="P114" s="68"/>
      <c r="Q114" s="63"/>
      <c r="R114" s="63"/>
      <c r="S114" s="63"/>
      <c r="T114" s="63"/>
      <c r="U114" s="68"/>
      <c r="V114" s="63"/>
      <c r="W114" s="63"/>
      <c r="X114" s="309"/>
      <c r="Y114" s="63"/>
      <c r="Z114" s="63"/>
      <c r="AA114" s="63"/>
      <c r="AB114" s="63"/>
      <c r="AC114" s="63"/>
      <c r="AD114" s="8"/>
      <c r="AE114" s="142"/>
      <c r="AF114" s="142"/>
      <c r="AG114" s="142"/>
      <c r="AH114" s="142"/>
      <c r="AI114" s="203">
        <v>11</v>
      </c>
    </row>
    <row r="115" spans="1:35" s="203" customFormat="1" ht="11.45" customHeight="1">
      <c r="A115" s="572"/>
      <c r="B115" s="68"/>
      <c r="C115" s="68"/>
      <c r="N115" s="63"/>
      <c r="O115" s="68"/>
      <c r="P115" s="68"/>
      <c r="Q115" s="63"/>
      <c r="R115" s="63"/>
      <c r="S115" s="63"/>
      <c r="T115" s="63"/>
      <c r="U115" s="68"/>
      <c r="V115" s="63"/>
      <c r="W115" s="63"/>
      <c r="X115" s="309"/>
      <c r="Y115" s="63"/>
      <c r="Z115" s="63"/>
      <c r="AA115" s="63"/>
      <c r="AB115" s="63"/>
      <c r="AC115" s="63"/>
      <c r="AD115" s="8"/>
      <c r="AE115" s="142"/>
      <c r="AF115" s="142"/>
      <c r="AG115" s="142"/>
      <c r="AH115" s="142"/>
      <c r="AI115" s="203">
        <v>11</v>
      </c>
    </row>
    <row r="116" spans="1:35" s="203" customFormat="1" ht="11.45" customHeight="1">
      <c r="A116" s="572"/>
      <c r="B116" s="68"/>
      <c r="C116" s="68"/>
      <c r="N116" s="63"/>
      <c r="O116" s="68"/>
      <c r="P116" s="68"/>
      <c r="Q116" s="63"/>
      <c r="R116" s="63"/>
      <c r="S116" s="63"/>
      <c r="T116" s="63"/>
      <c r="U116" s="68"/>
      <c r="V116" s="63"/>
      <c r="W116" s="63"/>
      <c r="X116" s="309"/>
      <c r="Y116" s="63"/>
      <c r="Z116" s="63"/>
      <c r="AA116" s="63"/>
      <c r="AB116" s="63"/>
      <c r="AC116" s="63"/>
      <c r="AD116" s="8"/>
      <c r="AE116" s="142"/>
      <c r="AF116" s="142"/>
      <c r="AG116" s="142"/>
      <c r="AH116" s="142"/>
      <c r="AI116" s="203">
        <v>11</v>
      </c>
    </row>
    <row r="117" spans="1:35" s="203" customFormat="1" ht="11.45" customHeight="1">
      <c r="A117" s="572"/>
      <c r="B117" s="68"/>
      <c r="C117" s="68"/>
      <c r="N117" s="63"/>
      <c r="O117" s="68"/>
      <c r="P117" s="68"/>
      <c r="Q117" s="63"/>
      <c r="R117" s="63"/>
      <c r="S117" s="63"/>
      <c r="T117" s="63"/>
      <c r="U117" s="68"/>
      <c r="V117" s="63"/>
      <c r="W117" s="63"/>
      <c r="X117" s="309"/>
      <c r="Y117" s="63"/>
      <c r="Z117" s="63"/>
      <c r="AA117" s="63"/>
      <c r="AB117" s="63"/>
      <c r="AC117" s="63"/>
      <c r="AD117" s="8"/>
      <c r="AE117" s="142"/>
      <c r="AF117" s="142"/>
      <c r="AG117" s="142"/>
      <c r="AH117" s="142"/>
      <c r="AI117" s="203">
        <v>11</v>
      </c>
    </row>
    <row r="118" spans="1:35" s="203" customFormat="1" ht="11.45" customHeight="1">
      <c r="A118" s="572"/>
      <c r="B118" s="68"/>
      <c r="C118" s="68"/>
      <c r="N118" s="63"/>
      <c r="O118" s="68"/>
      <c r="P118" s="68"/>
      <c r="Q118" s="63"/>
      <c r="R118" s="63"/>
      <c r="S118" s="63"/>
      <c r="T118" s="63"/>
      <c r="U118" s="68"/>
      <c r="V118" s="63"/>
      <c r="W118" s="63"/>
      <c r="X118" s="309"/>
      <c r="Y118" s="63"/>
      <c r="Z118" s="63"/>
      <c r="AA118" s="63"/>
      <c r="AB118" s="63"/>
      <c r="AC118" s="63"/>
      <c r="AD118" s="8"/>
      <c r="AE118" s="142"/>
      <c r="AF118" s="142"/>
      <c r="AG118" s="142"/>
      <c r="AH118" s="142"/>
      <c r="AI118" s="203">
        <v>11</v>
      </c>
    </row>
    <row r="119" spans="1:35" s="203" customFormat="1" ht="11.45" customHeight="1">
      <c r="A119" s="572"/>
      <c r="B119" s="68"/>
      <c r="C119" s="68"/>
      <c r="N119" s="63"/>
      <c r="O119" s="68"/>
      <c r="P119" s="68"/>
      <c r="Q119" s="63"/>
      <c r="R119" s="63"/>
      <c r="S119" s="63"/>
      <c r="T119" s="63"/>
      <c r="U119" s="68"/>
      <c r="V119" s="63"/>
      <c r="W119" s="63"/>
      <c r="X119" s="309"/>
      <c r="Y119" s="63"/>
      <c r="Z119" s="63"/>
      <c r="AA119" s="63"/>
      <c r="AB119" s="63"/>
      <c r="AC119" s="63"/>
      <c r="AD119" s="8"/>
      <c r="AE119" s="142"/>
      <c r="AF119" s="142"/>
      <c r="AG119" s="142"/>
      <c r="AH119" s="142"/>
      <c r="AI119" s="203">
        <v>11</v>
      </c>
    </row>
    <row r="120" spans="1:35" s="203" customFormat="1" ht="11.45" customHeight="1">
      <c r="A120" s="572"/>
      <c r="B120" s="68"/>
      <c r="C120" s="68"/>
      <c r="N120" s="63"/>
      <c r="O120" s="68"/>
      <c r="P120" s="68"/>
      <c r="Q120" s="63"/>
      <c r="R120" s="63"/>
      <c r="S120" s="63"/>
      <c r="T120" s="63"/>
      <c r="U120" s="68"/>
      <c r="V120" s="63"/>
      <c r="W120" s="63"/>
      <c r="X120" s="309"/>
      <c r="Y120" s="63"/>
      <c r="Z120" s="63"/>
      <c r="AA120" s="63"/>
      <c r="AB120" s="63"/>
      <c r="AC120" s="63"/>
      <c r="AD120" s="8"/>
      <c r="AE120" s="142"/>
      <c r="AF120" s="142"/>
      <c r="AG120" s="142"/>
      <c r="AH120" s="142"/>
      <c r="AI120" s="203">
        <v>11</v>
      </c>
    </row>
    <row r="121" spans="1:35" s="203" customFormat="1" ht="11.45" customHeight="1">
      <c r="A121" s="572"/>
      <c r="B121" s="68"/>
      <c r="C121" s="68"/>
      <c r="N121" s="63"/>
      <c r="O121" s="68"/>
      <c r="P121" s="68"/>
      <c r="Q121" s="63"/>
      <c r="R121" s="63"/>
      <c r="S121" s="63"/>
      <c r="T121" s="63"/>
      <c r="U121" s="68"/>
      <c r="V121" s="63"/>
      <c r="W121" s="63"/>
      <c r="X121" s="309"/>
      <c r="Y121" s="63"/>
      <c r="Z121" s="63"/>
      <c r="AA121" s="63"/>
      <c r="AB121" s="63"/>
      <c r="AC121" s="63"/>
      <c r="AD121" s="8"/>
      <c r="AE121" s="142"/>
      <c r="AF121" s="142"/>
      <c r="AG121" s="142"/>
      <c r="AH121" s="142"/>
      <c r="AI121" s="203">
        <v>11</v>
      </c>
    </row>
    <row r="122" spans="1:35" s="203" customFormat="1" ht="11.45" customHeight="1">
      <c r="A122" s="572"/>
      <c r="B122" s="68"/>
      <c r="C122" s="68"/>
      <c r="N122" s="63"/>
      <c r="O122" s="68"/>
      <c r="P122" s="68"/>
      <c r="Q122" s="63"/>
      <c r="R122" s="63"/>
      <c r="S122" s="63"/>
      <c r="T122" s="63"/>
      <c r="U122" s="68"/>
      <c r="V122" s="63"/>
      <c r="W122" s="63"/>
      <c r="X122" s="309"/>
      <c r="Y122" s="63"/>
      <c r="Z122" s="63"/>
      <c r="AA122" s="63"/>
      <c r="AB122" s="63"/>
      <c r="AC122" s="63"/>
      <c r="AD122" s="8"/>
      <c r="AE122" s="142"/>
      <c r="AF122" s="142"/>
      <c r="AG122" s="142"/>
      <c r="AH122" s="142"/>
      <c r="AI122" s="203">
        <v>11</v>
      </c>
    </row>
    <row r="123" spans="1:35" s="203" customFormat="1" ht="11.45" customHeight="1">
      <c r="A123" s="572"/>
      <c r="B123" s="68"/>
      <c r="C123" s="68"/>
      <c r="N123" s="63"/>
      <c r="O123" s="68"/>
      <c r="P123" s="68"/>
      <c r="Q123" s="63"/>
      <c r="R123" s="63"/>
      <c r="S123" s="63"/>
      <c r="T123" s="63"/>
      <c r="U123" s="68"/>
      <c r="V123" s="63"/>
      <c r="W123" s="63"/>
      <c r="X123" s="309"/>
      <c r="Y123" s="63"/>
      <c r="Z123" s="63"/>
      <c r="AA123" s="63"/>
      <c r="AB123" s="63"/>
      <c r="AC123" s="63"/>
      <c r="AD123" s="8"/>
      <c r="AE123" s="142"/>
      <c r="AF123" s="142"/>
      <c r="AG123" s="142"/>
      <c r="AH123" s="142"/>
      <c r="AI123" s="203">
        <v>11</v>
      </c>
    </row>
    <row r="124" spans="1:35" s="203" customFormat="1" ht="11.45" customHeight="1">
      <c r="A124" s="572"/>
      <c r="B124" s="68"/>
      <c r="C124" s="68"/>
      <c r="N124" s="63"/>
      <c r="O124" s="68"/>
      <c r="P124" s="68"/>
      <c r="Q124" s="63"/>
      <c r="R124" s="63"/>
      <c r="S124" s="63"/>
      <c r="T124" s="63"/>
      <c r="U124" s="68"/>
      <c r="V124" s="63"/>
      <c r="W124" s="63"/>
      <c r="X124" s="309"/>
      <c r="Y124" s="63"/>
      <c r="Z124" s="63"/>
      <c r="AA124" s="63"/>
      <c r="AB124" s="63"/>
      <c r="AC124" s="63"/>
      <c r="AD124" s="8"/>
      <c r="AE124" s="142"/>
      <c r="AF124" s="142"/>
      <c r="AG124" s="142"/>
      <c r="AH124" s="142"/>
      <c r="AI124" s="203">
        <v>11</v>
      </c>
    </row>
    <row r="125" spans="1:35" s="203" customFormat="1" ht="11.45" customHeight="1">
      <c r="A125" s="572"/>
      <c r="B125" s="68"/>
      <c r="C125" s="68"/>
      <c r="N125" s="63"/>
      <c r="O125" s="68"/>
      <c r="P125" s="68"/>
      <c r="Q125" s="63"/>
      <c r="R125" s="63"/>
      <c r="S125" s="63"/>
      <c r="T125" s="63"/>
      <c r="U125" s="68"/>
      <c r="V125" s="63"/>
      <c r="W125" s="63"/>
      <c r="X125" s="309"/>
      <c r="Y125" s="63"/>
      <c r="Z125" s="63"/>
      <c r="AA125" s="63"/>
      <c r="AB125" s="63"/>
      <c r="AC125" s="63"/>
      <c r="AD125" s="8"/>
      <c r="AE125" s="142"/>
      <c r="AF125" s="142"/>
      <c r="AG125" s="142"/>
      <c r="AH125" s="142"/>
      <c r="AI125" s="203">
        <v>11</v>
      </c>
    </row>
    <row r="126" spans="1:35" s="203" customFormat="1" ht="11.45" customHeight="1">
      <c r="A126" s="572"/>
      <c r="B126" s="68"/>
      <c r="C126" s="68"/>
      <c r="N126" s="63"/>
      <c r="O126" s="68"/>
      <c r="P126" s="68"/>
      <c r="Q126" s="63"/>
      <c r="R126" s="63"/>
      <c r="S126" s="63"/>
      <c r="T126" s="63"/>
      <c r="U126" s="68"/>
      <c r="V126" s="63"/>
      <c r="W126" s="63"/>
      <c r="X126" s="309"/>
      <c r="Y126" s="63"/>
      <c r="Z126" s="63"/>
      <c r="AA126" s="63"/>
      <c r="AB126" s="63"/>
      <c r="AC126" s="63"/>
      <c r="AD126" s="8"/>
      <c r="AE126" s="142"/>
      <c r="AF126" s="142"/>
      <c r="AG126" s="142"/>
      <c r="AH126" s="142"/>
      <c r="AI126" s="203">
        <v>11</v>
      </c>
    </row>
    <row r="127" spans="1:35" s="203" customFormat="1" ht="11.45" customHeight="1">
      <c r="A127" s="572"/>
      <c r="B127" s="68"/>
      <c r="C127" s="68"/>
      <c r="N127" s="63"/>
      <c r="O127" s="68"/>
      <c r="P127" s="68"/>
      <c r="Q127" s="63"/>
      <c r="R127" s="63"/>
      <c r="S127" s="63"/>
      <c r="T127" s="63"/>
      <c r="U127" s="68"/>
      <c r="V127" s="63"/>
      <c r="W127" s="63"/>
      <c r="X127" s="309"/>
      <c r="Y127" s="63"/>
      <c r="Z127" s="63"/>
      <c r="AA127" s="63"/>
      <c r="AB127" s="63"/>
      <c r="AC127" s="63"/>
      <c r="AD127" s="8"/>
      <c r="AE127" s="142"/>
      <c r="AF127" s="142"/>
      <c r="AG127" s="142"/>
      <c r="AH127" s="142"/>
      <c r="AI127" s="203">
        <v>11</v>
      </c>
    </row>
    <row r="128" spans="1:35" s="203" customFormat="1" ht="11.45" customHeight="1">
      <c r="A128" s="572"/>
      <c r="B128" s="68"/>
      <c r="C128" s="68"/>
      <c r="N128" s="63"/>
      <c r="O128" s="68"/>
      <c r="P128" s="68"/>
      <c r="Q128" s="63"/>
      <c r="R128" s="63"/>
      <c r="S128" s="63"/>
      <c r="T128" s="63"/>
      <c r="U128" s="68"/>
      <c r="V128" s="63"/>
      <c r="W128" s="63"/>
      <c r="X128" s="309"/>
      <c r="Y128" s="63"/>
      <c r="Z128" s="63"/>
      <c r="AA128" s="63"/>
      <c r="AB128" s="63"/>
      <c r="AC128" s="63"/>
      <c r="AD128" s="8"/>
      <c r="AE128" s="142"/>
      <c r="AF128" s="142"/>
      <c r="AG128" s="142"/>
      <c r="AH128" s="142"/>
      <c r="AI128" s="203">
        <v>11</v>
      </c>
    </row>
    <row r="129" spans="1:35" s="203" customFormat="1" ht="11.45" customHeight="1">
      <c r="A129" s="572"/>
      <c r="B129" s="68"/>
      <c r="C129" s="68"/>
      <c r="N129" s="63"/>
      <c r="O129" s="68"/>
      <c r="P129" s="68"/>
      <c r="Q129" s="63"/>
      <c r="R129" s="63"/>
      <c r="S129" s="63"/>
      <c r="T129" s="63"/>
      <c r="U129" s="68"/>
      <c r="V129" s="63"/>
      <c r="W129" s="63"/>
      <c r="X129" s="309"/>
      <c r="Y129" s="63"/>
      <c r="Z129" s="63"/>
      <c r="AA129" s="63"/>
      <c r="AB129" s="63"/>
      <c r="AC129" s="63"/>
      <c r="AD129" s="8"/>
      <c r="AE129" s="142"/>
      <c r="AF129" s="142"/>
      <c r="AG129" s="142"/>
      <c r="AH129" s="142"/>
      <c r="AI129" s="203">
        <v>11</v>
      </c>
    </row>
    <row r="130" spans="1:35" s="203" customFormat="1" ht="11.45" customHeight="1">
      <c r="A130" s="572"/>
      <c r="B130" s="68"/>
      <c r="C130" s="68"/>
      <c r="N130" s="63"/>
      <c r="O130" s="68"/>
      <c r="P130" s="68"/>
      <c r="Q130" s="63"/>
      <c r="R130" s="63"/>
      <c r="S130" s="63"/>
      <c r="T130" s="63"/>
      <c r="U130" s="68"/>
      <c r="V130" s="63"/>
      <c r="W130" s="63"/>
      <c r="X130" s="309"/>
      <c r="Y130" s="63"/>
      <c r="Z130" s="63"/>
      <c r="AA130" s="63"/>
      <c r="AB130" s="63"/>
      <c r="AC130" s="63"/>
      <c r="AD130" s="8"/>
      <c r="AE130" s="142"/>
      <c r="AF130" s="142"/>
      <c r="AG130" s="142"/>
      <c r="AH130" s="142"/>
      <c r="AI130" s="203">
        <v>11</v>
      </c>
    </row>
    <row r="131" spans="1:35" s="203" customFormat="1" ht="11.45" customHeight="1">
      <c r="A131" s="572"/>
      <c r="B131" s="68"/>
      <c r="C131" s="68"/>
      <c r="N131" s="63"/>
      <c r="O131" s="68"/>
      <c r="P131" s="68"/>
      <c r="Q131" s="63"/>
      <c r="R131" s="63"/>
      <c r="S131" s="63"/>
      <c r="T131" s="63"/>
      <c r="U131" s="68"/>
      <c r="V131" s="63"/>
      <c r="W131" s="63"/>
      <c r="X131" s="309"/>
      <c r="Y131" s="63"/>
      <c r="Z131" s="63"/>
      <c r="AA131" s="63"/>
      <c r="AB131" s="63"/>
      <c r="AC131" s="63"/>
      <c r="AD131" s="8"/>
      <c r="AE131" s="142"/>
      <c r="AF131" s="142"/>
      <c r="AG131" s="142"/>
      <c r="AH131" s="142"/>
      <c r="AI131" s="203">
        <v>11</v>
      </c>
    </row>
    <row r="132" spans="1:35" s="203" customFormat="1" ht="11.45" customHeight="1">
      <c r="A132" s="572"/>
      <c r="B132" s="68"/>
      <c r="C132" s="68"/>
      <c r="N132" s="63"/>
      <c r="O132" s="68"/>
      <c r="P132" s="68"/>
      <c r="Q132" s="63"/>
      <c r="R132" s="63"/>
      <c r="S132" s="63"/>
      <c r="T132" s="63"/>
      <c r="U132" s="68"/>
      <c r="V132" s="63"/>
      <c r="W132" s="63"/>
      <c r="X132" s="309"/>
      <c r="Y132" s="63"/>
      <c r="Z132" s="63"/>
      <c r="AA132" s="63"/>
      <c r="AB132" s="63"/>
      <c r="AC132" s="63"/>
      <c r="AD132" s="8"/>
      <c r="AE132" s="142"/>
      <c r="AF132" s="142"/>
      <c r="AG132" s="142"/>
      <c r="AH132" s="142"/>
      <c r="AI132" s="203">
        <v>11</v>
      </c>
    </row>
    <row r="133" spans="1:35" s="203" customFormat="1" ht="11.45" customHeight="1">
      <c r="A133" s="572"/>
      <c r="B133" s="68"/>
      <c r="C133" s="68"/>
      <c r="N133" s="63"/>
      <c r="O133" s="68"/>
      <c r="P133" s="68"/>
      <c r="Q133" s="63"/>
      <c r="R133" s="63"/>
      <c r="S133" s="63"/>
      <c r="T133" s="63"/>
      <c r="U133" s="68"/>
      <c r="V133" s="63"/>
      <c r="W133" s="63"/>
      <c r="X133" s="309"/>
      <c r="Y133" s="63"/>
      <c r="Z133" s="63"/>
      <c r="AA133" s="63"/>
      <c r="AB133" s="63"/>
      <c r="AC133" s="63"/>
      <c r="AD133" s="8"/>
      <c r="AE133" s="142"/>
      <c r="AF133" s="142"/>
      <c r="AG133" s="142"/>
      <c r="AH133" s="142"/>
      <c r="AI133" s="203">
        <v>11</v>
      </c>
    </row>
    <row r="134" spans="1:35" s="203" customFormat="1" ht="11.45" customHeight="1">
      <c r="A134" s="572"/>
      <c r="B134" s="68"/>
      <c r="C134" s="68"/>
      <c r="N134" s="63"/>
      <c r="O134" s="68"/>
      <c r="P134" s="68"/>
      <c r="Q134" s="63"/>
      <c r="R134" s="63"/>
      <c r="S134" s="63"/>
      <c r="T134" s="63"/>
      <c r="U134" s="68"/>
      <c r="V134" s="63"/>
      <c r="W134" s="63"/>
      <c r="X134" s="309"/>
      <c r="Y134" s="63"/>
      <c r="Z134" s="63"/>
      <c r="AA134" s="63"/>
      <c r="AB134" s="63"/>
      <c r="AC134" s="63"/>
      <c r="AD134" s="8"/>
      <c r="AE134" s="142"/>
      <c r="AF134" s="142"/>
      <c r="AG134" s="142"/>
      <c r="AH134" s="142"/>
      <c r="AI134" s="203">
        <v>11</v>
      </c>
    </row>
    <row r="135" spans="1:35" s="203" customFormat="1" ht="11.45" customHeight="1">
      <c r="A135" s="572"/>
      <c r="B135" s="68"/>
      <c r="C135" s="68"/>
      <c r="N135" s="63"/>
      <c r="O135" s="68"/>
      <c r="P135" s="68"/>
      <c r="Q135" s="63"/>
      <c r="R135" s="63"/>
      <c r="S135" s="63"/>
      <c r="T135" s="63"/>
      <c r="U135" s="68"/>
      <c r="V135" s="63"/>
      <c r="W135" s="63"/>
      <c r="X135" s="309"/>
      <c r="Y135" s="63"/>
      <c r="Z135" s="63"/>
      <c r="AA135" s="63"/>
      <c r="AB135" s="63"/>
      <c r="AC135" s="63"/>
      <c r="AD135" s="8"/>
      <c r="AE135" s="142"/>
      <c r="AF135" s="142"/>
      <c r="AG135" s="142"/>
      <c r="AH135" s="142"/>
      <c r="AI135" s="203">
        <v>11</v>
      </c>
    </row>
    <row r="136" spans="1:35" s="203" customFormat="1" ht="11.45" customHeight="1">
      <c r="A136" s="572"/>
      <c r="B136" s="68"/>
      <c r="C136" s="68"/>
      <c r="N136" s="63"/>
      <c r="O136" s="68"/>
      <c r="P136" s="68"/>
      <c r="Q136" s="63"/>
      <c r="R136" s="63"/>
      <c r="S136" s="63"/>
      <c r="T136" s="63"/>
      <c r="U136" s="68"/>
      <c r="V136" s="63"/>
      <c r="W136" s="63"/>
      <c r="X136" s="309"/>
      <c r="Y136" s="63"/>
      <c r="Z136" s="63"/>
      <c r="AA136" s="63"/>
      <c r="AB136" s="63"/>
      <c r="AC136" s="63"/>
      <c r="AD136" s="8"/>
      <c r="AE136" s="142"/>
      <c r="AF136" s="142"/>
      <c r="AG136" s="142"/>
      <c r="AH136" s="142"/>
      <c r="AI136" s="203">
        <v>11</v>
      </c>
    </row>
    <row r="137" spans="1:35" s="203" customFormat="1" ht="11.45" customHeight="1">
      <c r="A137" s="572"/>
      <c r="B137" s="68"/>
      <c r="C137" s="68"/>
      <c r="N137" s="63"/>
      <c r="O137" s="68"/>
      <c r="P137" s="68"/>
      <c r="Q137" s="63"/>
      <c r="R137" s="63"/>
      <c r="S137" s="63"/>
      <c r="T137" s="63"/>
      <c r="U137" s="68"/>
      <c r="V137" s="63"/>
      <c r="W137" s="63"/>
      <c r="X137" s="309"/>
      <c r="Y137" s="63"/>
      <c r="Z137" s="63"/>
      <c r="AA137" s="63"/>
      <c r="AB137" s="63"/>
      <c r="AC137" s="63"/>
      <c r="AD137" s="8"/>
      <c r="AE137" s="142"/>
      <c r="AF137" s="142"/>
      <c r="AG137" s="142"/>
      <c r="AH137" s="142"/>
      <c r="AI137" s="203">
        <v>11</v>
      </c>
    </row>
    <row r="138" spans="1:35" s="203" customFormat="1" ht="11.45" customHeight="1">
      <c r="A138" s="572"/>
      <c r="B138" s="68"/>
      <c r="C138" s="68"/>
      <c r="N138" s="63"/>
      <c r="O138" s="68"/>
      <c r="P138" s="68"/>
      <c r="Q138" s="63"/>
      <c r="R138" s="63"/>
      <c r="S138" s="63"/>
      <c r="T138" s="63"/>
      <c r="U138" s="68"/>
      <c r="V138" s="63"/>
      <c r="W138" s="63"/>
      <c r="X138" s="309"/>
      <c r="Y138" s="63"/>
      <c r="Z138" s="63"/>
      <c r="AA138" s="63"/>
      <c r="AB138" s="63"/>
      <c r="AC138" s="63"/>
      <c r="AD138" s="8"/>
      <c r="AE138" s="142"/>
      <c r="AF138" s="142"/>
      <c r="AG138" s="142"/>
      <c r="AH138" s="142"/>
      <c r="AI138" s="203">
        <v>11</v>
      </c>
    </row>
    <row r="139" spans="1:35" s="203" customFormat="1" ht="11.45" customHeight="1">
      <c r="A139" s="572"/>
      <c r="B139" s="68"/>
      <c r="C139" s="68"/>
      <c r="N139" s="63"/>
      <c r="O139" s="68"/>
      <c r="P139" s="68"/>
      <c r="Q139" s="63"/>
      <c r="R139" s="63"/>
      <c r="S139" s="63"/>
      <c r="T139" s="63"/>
      <c r="U139" s="68"/>
      <c r="V139" s="63"/>
      <c r="W139" s="63"/>
      <c r="X139" s="309"/>
      <c r="Y139" s="63"/>
      <c r="Z139" s="63"/>
      <c r="AA139" s="63"/>
      <c r="AB139" s="63"/>
      <c r="AC139" s="63"/>
      <c r="AD139" s="8"/>
      <c r="AE139" s="142"/>
      <c r="AF139" s="142"/>
      <c r="AG139" s="142"/>
      <c r="AH139" s="142"/>
      <c r="AI139" s="203">
        <v>11</v>
      </c>
    </row>
    <row r="140" spans="1:35" s="203" customFormat="1" ht="11.45" customHeight="1">
      <c r="A140" s="572"/>
      <c r="B140" s="68"/>
      <c r="C140" s="68"/>
      <c r="N140" s="63"/>
      <c r="O140" s="68"/>
      <c r="P140" s="68"/>
      <c r="Q140" s="63"/>
      <c r="R140" s="63"/>
      <c r="S140" s="63"/>
      <c r="T140" s="63"/>
      <c r="U140" s="68"/>
      <c r="V140" s="63"/>
      <c r="W140" s="63"/>
      <c r="X140" s="309"/>
      <c r="Y140" s="63"/>
      <c r="Z140" s="63"/>
      <c r="AA140" s="63"/>
      <c r="AB140" s="63"/>
      <c r="AC140" s="63"/>
      <c r="AD140" s="8"/>
      <c r="AE140" s="142"/>
      <c r="AF140" s="142"/>
      <c r="AG140" s="142"/>
      <c r="AH140" s="142"/>
      <c r="AI140" s="203">
        <v>11</v>
      </c>
    </row>
    <row r="141" spans="1:35" s="203" customFormat="1" ht="11.45" customHeight="1">
      <c r="A141" s="572"/>
      <c r="B141" s="68"/>
      <c r="C141" s="68"/>
      <c r="N141" s="63"/>
      <c r="O141" s="68"/>
      <c r="P141" s="68"/>
      <c r="Q141" s="63"/>
      <c r="R141" s="63"/>
      <c r="S141" s="63"/>
      <c r="T141" s="63"/>
      <c r="U141" s="68"/>
      <c r="V141" s="63"/>
      <c r="W141" s="63"/>
      <c r="X141" s="309"/>
      <c r="Y141" s="63"/>
      <c r="Z141" s="63"/>
      <c r="AA141" s="63"/>
      <c r="AB141" s="63"/>
      <c r="AC141" s="63"/>
      <c r="AD141" s="8"/>
      <c r="AE141" s="142"/>
      <c r="AF141" s="142"/>
      <c r="AG141" s="142"/>
      <c r="AH141" s="142"/>
      <c r="AI141" s="203">
        <v>11</v>
      </c>
    </row>
    <row r="142" spans="1:35" s="203" customFormat="1" ht="11.45" customHeight="1">
      <c r="A142" s="572"/>
      <c r="B142" s="68"/>
      <c r="C142" s="68"/>
      <c r="N142" s="63"/>
      <c r="O142" s="68"/>
      <c r="P142" s="68"/>
      <c r="Q142" s="63"/>
      <c r="R142" s="63"/>
      <c r="S142" s="63"/>
      <c r="T142" s="63"/>
      <c r="U142" s="68"/>
      <c r="V142" s="63"/>
      <c r="W142" s="63"/>
      <c r="X142" s="309"/>
      <c r="Y142" s="63"/>
      <c r="Z142" s="63"/>
      <c r="AA142" s="63"/>
      <c r="AB142" s="63"/>
      <c r="AC142" s="63"/>
      <c r="AD142" s="8"/>
      <c r="AE142" s="142"/>
      <c r="AF142" s="142"/>
      <c r="AG142" s="142"/>
      <c r="AH142" s="142"/>
      <c r="AI142" s="203">
        <v>11</v>
      </c>
    </row>
    <row r="143" spans="1:35" s="203" customFormat="1" ht="11.45" customHeight="1">
      <c r="A143" s="572"/>
      <c r="B143" s="68"/>
      <c r="C143" s="68"/>
      <c r="N143" s="63"/>
      <c r="O143" s="68"/>
      <c r="P143" s="68"/>
      <c r="Q143" s="63"/>
      <c r="R143" s="63"/>
      <c r="S143" s="63"/>
      <c r="T143" s="63"/>
      <c r="U143" s="68"/>
      <c r="V143" s="63"/>
      <c r="W143" s="63"/>
      <c r="X143" s="309"/>
      <c r="Y143" s="63"/>
      <c r="Z143" s="63"/>
      <c r="AA143" s="63"/>
      <c r="AB143" s="63"/>
      <c r="AC143" s="63"/>
      <c r="AD143" s="8"/>
      <c r="AE143" s="142"/>
      <c r="AF143" s="142"/>
      <c r="AG143" s="142"/>
      <c r="AH143" s="142"/>
      <c r="AI143" s="203">
        <v>11</v>
      </c>
    </row>
    <row r="144" spans="1:35" s="203" customFormat="1" ht="11.45" customHeight="1">
      <c r="A144" s="572"/>
      <c r="B144" s="68"/>
      <c r="C144" s="68"/>
      <c r="N144" s="63"/>
      <c r="O144" s="68"/>
      <c r="P144" s="68"/>
      <c r="Q144" s="63"/>
      <c r="R144" s="63"/>
      <c r="S144" s="63"/>
      <c r="T144" s="63"/>
      <c r="U144" s="68"/>
      <c r="V144" s="63"/>
      <c r="W144" s="63"/>
      <c r="X144" s="309"/>
      <c r="Y144" s="63"/>
      <c r="Z144" s="63"/>
      <c r="AA144" s="63"/>
      <c r="AB144" s="63"/>
      <c r="AC144" s="63"/>
      <c r="AD144" s="8"/>
      <c r="AE144" s="142"/>
      <c r="AF144" s="142"/>
      <c r="AG144" s="142"/>
      <c r="AH144" s="142"/>
      <c r="AI144" s="203">
        <v>11</v>
      </c>
    </row>
    <row r="145" spans="1:35" s="203" customFormat="1" ht="11.45" customHeight="1">
      <c r="A145" s="572"/>
      <c r="B145" s="68"/>
      <c r="C145" s="68"/>
      <c r="N145" s="63"/>
      <c r="O145" s="68"/>
      <c r="P145" s="68"/>
      <c r="Q145" s="63"/>
      <c r="R145" s="63"/>
      <c r="S145" s="63"/>
      <c r="T145" s="63"/>
      <c r="U145" s="68"/>
      <c r="V145" s="63"/>
      <c r="W145" s="63"/>
      <c r="X145" s="309"/>
      <c r="Y145" s="63"/>
      <c r="Z145" s="63"/>
      <c r="AA145" s="63"/>
      <c r="AB145" s="63"/>
      <c r="AC145" s="63"/>
      <c r="AD145" s="8"/>
      <c r="AE145" s="142"/>
      <c r="AF145" s="142"/>
      <c r="AG145" s="142"/>
      <c r="AH145" s="142"/>
      <c r="AI145" s="203">
        <v>11</v>
      </c>
    </row>
    <row r="146" spans="1:35" s="203" customFormat="1" ht="11.45" customHeight="1">
      <c r="A146" s="572"/>
      <c r="B146" s="68"/>
      <c r="C146" s="68"/>
      <c r="N146" s="63"/>
      <c r="O146" s="68"/>
      <c r="P146" s="68"/>
      <c r="Q146" s="63"/>
      <c r="R146" s="63"/>
      <c r="S146" s="63"/>
      <c r="T146" s="63"/>
      <c r="U146" s="68"/>
      <c r="V146" s="63"/>
      <c r="W146" s="63"/>
      <c r="X146" s="309"/>
      <c r="Y146" s="63"/>
      <c r="Z146" s="63"/>
      <c r="AA146" s="63"/>
      <c r="AB146" s="63"/>
      <c r="AC146" s="63"/>
      <c r="AD146" s="8"/>
      <c r="AE146" s="142"/>
      <c r="AF146" s="142"/>
      <c r="AG146" s="142"/>
      <c r="AH146" s="142"/>
      <c r="AI146" s="203">
        <v>11</v>
      </c>
    </row>
    <row r="147" spans="1:35" s="203" customFormat="1" ht="11.45" customHeight="1">
      <c r="A147" s="572"/>
      <c r="B147" s="68"/>
      <c r="C147" s="68"/>
      <c r="N147" s="63"/>
      <c r="O147" s="68"/>
      <c r="P147" s="68"/>
      <c r="Q147" s="63"/>
      <c r="R147" s="63"/>
      <c r="S147" s="63"/>
      <c r="T147" s="63"/>
      <c r="U147" s="68"/>
      <c r="V147" s="63"/>
      <c r="W147" s="63"/>
      <c r="X147" s="309"/>
      <c r="Y147" s="63"/>
      <c r="Z147" s="63"/>
      <c r="AA147" s="63"/>
      <c r="AB147" s="63"/>
      <c r="AC147" s="63"/>
      <c r="AD147" s="8"/>
      <c r="AE147" s="142"/>
      <c r="AF147" s="142"/>
      <c r="AG147" s="142"/>
      <c r="AH147" s="142"/>
      <c r="AI147" s="203">
        <v>11</v>
      </c>
    </row>
    <row r="148" spans="1:35" s="203" customFormat="1" ht="11.45" customHeight="1">
      <c r="A148" s="572"/>
      <c r="B148" s="68"/>
      <c r="C148" s="68"/>
      <c r="N148" s="63"/>
      <c r="O148" s="68"/>
      <c r="P148" s="68"/>
      <c r="Q148" s="63"/>
      <c r="R148" s="63"/>
      <c r="S148" s="63"/>
      <c r="T148" s="63"/>
      <c r="U148" s="68"/>
      <c r="V148" s="63"/>
      <c r="W148" s="63"/>
      <c r="X148" s="309"/>
      <c r="Y148" s="63"/>
      <c r="Z148" s="63"/>
      <c r="AA148" s="63"/>
      <c r="AB148" s="63"/>
      <c r="AC148" s="63"/>
      <c r="AD148" s="8"/>
      <c r="AE148" s="142"/>
      <c r="AF148" s="142"/>
      <c r="AG148" s="142"/>
      <c r="AH148" s="142"/>
      <c r="AI148" s="203">
        <v>11</v>
      </c>
    </row>
    <row r="149" spans="1:35" s="203" customFormat="1" ht="11.45" customHeight="1">
      <c r="A149" s="572"/>
      <c r="B149" s="68"/>
      <c r="C149" s="68"/>
      <c r="N149" s="63"/>
      <c r="O149" s="68"/>
      <c r="P149" s="68"/>
      <c r="Q149" s="63"/>
      <c r="R149" s="63"/>
      <c r="S149" s="63"/>
      <c r="T149" s="63"/>
      <c r="U149" s="68"/>
      <c r="V149" s="63"/>
      <c r="W149" s="63"/>
      <c r="X149" s="309"/>
      <c r="Y149" s="63"/>
      <c r="Z149" s="63"/>
      <c r="AA149" s="63"/>
      <c r="AB149" s="63"/>
      <c r="AC149" s="63"/>
      <c r="AD149" s="8"/>
      <c r="AE149" s="142"/>
      <c r="AF149" s="142"/>
      <c r="AG149" s="142"/>
      <c r="AH149" s="142"/>
      <c r="AI149" s="203">
        <v>11</v>
      </c>
    </row>
    <row r="150" spans="1:35" s="203" customFormat="1" ht="11.45" customHeight="1">
      <c r="A150" s="572"/>
      <c r="B150" s="68"/>
      <c r="C150" s="68"/>
      <c r="N150" s="63"/>
      <c r="O150" s="68"/>
      <c r="P150" s="68"/>
      <c r="Q150" s="63"/>
      <c r="R150" s="63"/>
      <c r="S150" s="63"/>
      <c r="T150" s="63"/>
      <c r="U150" s="68"/>
      <c r="V150" s="63"/>
      <c r="W150" s="63"/>
      <c r="X150" s="309"/>
      <c r="Y150" s="63"/>
      <c r="Z150" s="63"/>
      <c r="AA150" s="63"/>
      <c r="AB150" s="63"/>
      <c r="AC150" s="63"/>
      <c r="AD150" s="8"/>
      <c r="AE150" s="142"/>
      <c r="AF150" s="142"/>
      <c r="AG150" s="142"/>
      <c r="AH150" s="142"/>
      <c r="AI150" s="203">
        <v>11</v>
      </c>
    </row>
    <row r="151" spans="1:35" s="203" customFormat="1" ht="11.45" customHeight="1">
      <c r="A151" s="572"/>
      <c r="B151" s="68"/>
      <c r="C151" s="68"/>
      <c r="N151" s="63"/>
      <c r="O151" s="68"/>
      <c r="P151" s="68"/>
      <c r="Q151" s="63"/>
      <c r="R151" s="63"/>
      <c r="S151" s="63"/>
      <c r="T151" s="63"/>
      <c r="U151" s="68"/>
      <c r="V151" s="63"/>
      <c r="W151" s="63"/>
      <c r="X151" s="309"/>
      <c r="Y151" s="63"/>
      <c r="Z151" s="63"/>
      <c r="AA151" s="63"/>
      <c r="AB151" s="63"/>
      <c r="AC151" s="63"/>
      <c r="AD151" s="8"/>
      <c r="AE151" s="142"/>
      <c r="AF151" s="142"/>
      <c r="AG151" s="142"/>
      <c r="AH151" s="142"/>
      <c r="AI151" s="203">
        <v>11</v>
      </c>
    </row>
    <row r="152" spans="1:35" s="203" customFormat="1" ht="11.45" customHeight="1">
      <c r="A152" s="572"/>
      <c r="B152" s="68"/>
      <c r="C152" s="68"/>
      <c r="N152" s="63"/>
      <c r="O152" s="68"/>
      <c r="P152" s="68"/>
      <c r="Q152" s="63"/>
      <c r="R152" s="63"/>
      <c r="S152" s="63"/>
      <c r="T152" s="63"/>
      <c r="U152" s="68"/>
      <c r="V152" s="63"/>
      <c r="W152" s="63"/>
      <c r="X152" s="309"/>
      <c r="Y152" s="63"/>
      <c r="Z152" s="63"/>
      <c r="AA152" s="63"/>
      <c r="AB152" s="63"/>
      <c r="AC152" s="63"/>
      <c r="AD152" s="8"/>
      <c r="AE152" s="142"/>
      <c r="AF152" s="142"/>
      <c r="AG152" s="142"/>
      <c r="AH152" s="142"/>
      <c r="AI152" s="203">
        <v>11</v>
      </c>
    </row>
    <row r="153" spans="1:35" s="203" customFormat="1" ht="11.45" customHeight="1">
      <c r="A153" s="572"/>
      <c r="B153" s="68"/>
      <c r="C153" s="68"/>
      <c r="N153" s="63"/>
      <c r="O153" s="68"/>
      <c r="P153" s="68"/>
      <c r="Q153" s="63"/>
      <c r="R153" s="63"/>
      <c r="S153" s="63"/>
      <c r="T153" s="63"/>
      <c r="U153" s="68"/>
      <c r="V153" s="63"/>
      <c r="W153" s="63"/>
      <c r="X153" s="309"/>
      <c r="Y153" s="63"/>
      <c r="Z153" s="63"/>
      <c r="AA153" s="63"/>
      <c r="AB153" s="63"/>
      <c r="AC153" s="63"/>
      <c r="AD153" s="8"/>
      <c r="AE153" s="142"/>
      <c r="AF153" s="142"/>
      <c r="AG153" s="142"/>
      <c r="AH153" s="142"/>
      <c r="AI153" s="203">
        <v>11</v>
      </c>
    </row>
    <row r="154" spans="1:35" s="203" customFormat="1" ht="11.45" customHeight="1">
      <c r="A154" s="572"/>
      <c r="B154" s="68"/>
      <c r="C154" s="68"/>
      <c r="N154" s="63"/>
      <c r="O154" s="68"/>
      <c r="P154" s="68"/>
      <c r="Q154" s="63"/>
      <c r="R154" s="63"/>
      <c r="S154" s="63"/>
      <c r="T154" s="63"/>
      <c r="U154" s="68"/>
      <c r="V154" s="63"/>
      <c r="W154" s="63"/>
      <c r="X154" s="309"/>
      <c r="Y154" s="63"/>
      <c r="Z154" s="63"/>
      <c r="AA154" s="63"/>
      <c r="AB154" s="63"/>
      <c r="AC154" s="63"/>
      <c r="AD154" s="8"/>
      <c r="AE154" s="142"/>
      <c r="AF154" s="142"/>
      <c r="AG154" s="142"/>
      <c r="AH154" s="142"/>
      <c r="AI154" s="203">
        <v>11</v>
      </c>
    </row>
    <row r="155" spans="1:35" s="203" customFormat="1" ht="11.45" customHeight="1">
      <c r="A155" s="572"/>
      <c r="B155" s="68"/>
      <c r="C155" s="68"/>
      <c r="N155" s="63"/>
      <c r="O155" s="68"/>
      <c r="P155" s="68"/>
      <c r="Q155" s="63"/>
      <c r="R155" s="63"/>
      <c r="S155" s="63"/>
      <c r="T155" s="63"/>
      <c r="U155" s="68"/>
      <c r="V155" s="63"/>
      <c r="W155" s="63"/>
      <c r="X155" s="309"/>
      <c r="Y155" s="63"/>
      <c r="Z155" s="63"/>
      <c r="AA155" s="63"/>
      <c r="AB155" s="63"/>
      <c r="AC155" s="63"/>
      <c r="AD155" s="8"/>
      <c r="AE155" s="142"/>
      <c r="AF155" s="142"/>
      <c r="AG155" s="142"/>
      <c r="AH155" s="142"/>
      <c r="AI155" s="203">
        <v>11</v>
      </c>
    </row>
    <row r="156" spans="1:35" s="203" customFormat="1" ht="11.45" customHeight="1">
      <c r="A156" s="572"/>
      <c r="B156" s="68"/>
      <c r="C156" s="68"/>
      <c r="N156" s="63"/>
      <c r="O156" s="68"/>
      <c r="P156" s="68"/>
      <c r="Q156" s="63"/>
      <c r="R156" s="63"/>
      <c r="S156" s="63"/>
      <c r="T156" s="63"/>
      <c r="U156" s="68"/>
      <c r="V156" s="63"/>
      <c r="W156" s="63"/>
      <c r="X156" s="309"/>
      <c r="Y156" s="63"/>
      <c r="Z156" s="63"/>
      <c r="AA156" s="63"/>
      <c r="AB156" s="63"/>
      <c r="AC156" s="63"/>
      <c r="AD156" s="8"/>
      <c r="AE156" s="142"/>
      <c r="AF156" s="142"/>
      <c r="AG156" s="142"/>
      <c r="AH156" s="142"/>
      <c r="AI156" s="203">
        <v>11</v>
      </c>
    </row>
    <row r="157" spans="1:35" s="203" customFormat="1" ht="11.45" customHeight="1">
      <c r="A157" s="572"/>
      <c r="B157" s="68"/>
      <c r="C157" s="68"/>
      <c r="N157" s="63"/>
      <c r="O157" s="68"/>
      <c r="P157" s="68"/>
      <c r="Q157" s="63"/>
      <c r="R157" s="63"/>
      <c r="S157" s="63"/>
      <c r="T157" s="63"/>
      <c r="U157" s="68"/>
      <c r="V157" s="63"/>
      <c r="W157" s="63"/>
      <c r="X157" s="309"/>
      <c r="Y157" s="63"/>
      <c r="Z157" s="63"/>
      <c r="AA157" s="63"/>
      <c r="AB157" s="63"/>
      <c r="AC157" s="63"/>
      <c r="AD157" s="8"/>
      <c r="AE157" s="142"/>
      <c r="AF157" s="142"/>
      <c r="AG157" s="142"/>
      <c r="AH157" s="142"/>
      <c r="AI157" s="203">
        <v>11</v>
      </c>
    </row>
    <row r="158" spans="1:35" s="203" customFormat="1" ht="11.45" customHeight="1">
      <c r="A158" s="572"/>
      <c r="B158" s="68"/>
      <c r="C158" s="68"/>
      <c r="N158" s="63"/>
      <c r="O158" s="68"/>
      <c r="P158" s="68"/>
      <c r="Q158" s="63"/>
      <c r="R158" s="63"/>
      <c r="S158" s="63"/>
      <c r="T158" s="63"/>
      <c r="U158" s="68"/>
      <c r="V158" s="63"/>
      <c r="W158" s="63"/>
      <c r="X158" s="309"/>
      <c r="Y158" s="63"/>
      <c r="Z158" s="63"/>
      <c r="AA158" s="63"/>
      <c r="AB158" s="63"/>
      <c r="AC158" s="63"/>
      <c r="AD158" s="8"/>
      <c r="AE158" s="142"/>
      <c r="AF158" s="142"/>
      <c r="AG158" s="142"/>
      <c r="AH158" s="142"/>
      <c r="AI158" s="203">
        <v>11</v>
      </c>
    </row>
    <row r="159" spans="1:35" s="203" customFormat="1" ht="11.45" customHeight="1">
      <c r="A159" s="572"/>
      <c r="B159" s="68"/>
      <c r="C159" s="68"/>
      <c r="N159" s="63"/>
      <c r="O159" s="68"/>
      <c r="P159" s="68"/>
      <c r="Q159" s="63"/>
      <c r="R159" s="63"/>
      <c r="S159" s="63"/>
      <c r="T159" s="63"/>
      <c r="U159" s="68"/>
      <c r="V159" s="63"/>
      <c r="W159" s="63"/>
      <c r="X159" s="309"/>
      <c r="Y159" s="63"/>
      <c r="Z159" s="63"/>
      <c r="AA159" s="63"/>
      <c r="AB159" s="63"/>
      <c r="AC159" s="63"/>
      <c r="AD159" s="8"/>
      <c r="AE159" s="142"/>
      <c r="AF159" s="142"/>
      <c r="AG159" s="142"/>
      <c r="AH159" s="142"/>
      <c r="AI159" s="203">
        <v>11</v>
      </c>
    </row>
    <row r="160" spans="1:35" s="203" customFormat="1" ht="11.45" customHeight="1">
      <c r="A160" s="572"/>
      <c r="B160" s="68"/>
      <c r="C160" s="68"/>
      <c r="N160" s="63"/>
      <c r="O160" s="68"/>
      <c r="P160" s="68"/>
      <c r="Q160" s="63"/>
      <c r="R160" s="63"/>
      <c r="S160" s="63"/>
      <c r="T160" s="63"/>
      <c r="U160" s="68"/>
      <c r="V160" s="63"/>
      <c r="W160" s="63"/>
      <c r="X160" s="309"/>
      <c r="Y160" s="63"/>
      <c r="Z160" s="63"/>
      <c r="AA160" s="63"/>
      <c r="AB160" s="63"/>
      <c r="AC160" s="63"/>
      <c r="AD160" s="8"/>
      <c r="AE160" s="142"/>
      <c r="AF160" s="142"/>
      <c r="AG160" s="142"/>
      <c r="AH160" s="142"/>
      <c r="AI160" s="203">
        <v>11</v>
      </c>
    </row>
    <row r="161" spans="1:35" s="203" customFormat="1" ht="11.45" customHeight="1">
      <c r="A161" s="572"/>
      <c r="B161" s="68"/>
      <c r="C161" s="68"/>
      <c r="N161" s="63"/>
      <c r="O161" s="68"/>
      <c r="P161" s="68"/>
      <c r="Q161" s="63"/>
      <c r="R161" s="63"/>
      <c r="S161" s="63"/>
      <c r="T161" s="63"/>
      <c r="U161" s="68"/>
      <c r="V161" s="63"/>
      <c r="W161" s="63"/>
      <c r="X161" s="309"/>
      <c r="Y161" s="63"/>
      <c r="Z161" s="63"/>
      <c r="AA161" s="63"/>
      <c r="AB161" s="63"/>
      <c r="AC161" s="63"/>
      <c r="AD161" s="8"/>
      <c r="AE161" s="142"/>
      <c r="AF161" s="142"/>
      <c r="AG161" s="142"/>
      <c r="AH161" s="142"/>
      <c r="AI161" s="203">
        <v>11</v>
      </c>
    </row>
    <row r="162" spans="1:35" s="203" customFormat="1" ht="11.45" customHeight="1">
      <c r="A162" s="572"/>
      <c r="B162" s="68"/>
      <c r="C162" s="68"/>
      <c r="N162" s="63"/>
      <c r="O162" s="68"/>
      <c r="P162" s="68"/>
      <c r="Q162" s="63"/>
      <c r="R162" s="63"/>
      <c r="S162" s="63"/>
      <c r="T162" s="63"/>
      <c r="U162" s="68"/>
      <c r="V162" s="63"/>
      <c r="W162" s="63"/>
      <c r="X162" s="309"/>
      <c r="Y162" s="63"/>
      <c r="Z162" s="63"/>
      <c r="AA162" s="63"/>
      <c r="AB162" s="63"/>
      <c r="AC162" s="63"/>
      <c r="AD162" s="8"/>
      <c r="AE162" s="142"/>
      <c r="AF162" s="142"/>
      <c r="AG162" s="142"/>
      <c r="AH162" s="142"/>
      <c r="AI162" s="203">
        <v>11</v>
      </c>
    </row>
    <row r="163" spans="1:35" s="203" customFormat="1" ht="11.45" customHeight="1">
      <c r="A163" s="572"/>
      <c r="B163" s="68"/>
      <c r="C163" s="68"/>
      <c r="N163" s="63"/>
      <c r="O163" s="68"/>
      <c r="P163" s="68"/>
      <c r="Q163" s="63"/>
      <c r="R163" s="63"/>
      <c r="S163" s="63"/>
      <c r="T163" s="63"/>
      <c r="U163" s="68"/>
      <c r="V163" s="63"/>
      <c r="W163" s="63"/>
      <c r="X163" s="309"/>
      <c r="Y163" s="63"/>
      <c r="Z163" s="63"/>
      <c r="AA163" s="63"/>
      <c r="AB163" s="63"/>
      <c r="AC163" s="63"/>
      <c r="AD163" s="8"/>
      <c r="AE163" s="142"/>
      <c r="AF163" s="142"/>
      <c r="AG163" s="142"/>
      <c r="AH163" s="142"/>
      <c r="AI163" s="203">
        <v>11</v>
      </c>
    </row>
    <row r="164" spans="1:35" s="203" customFormat="1" ht="11.45" customHeight="1">
      <c r="A164" s="572"/>
      <c r="B164" s="68"/>
      <c r="C164" s="68"/>
      <c r="N164" s="63"/>
      <c r="O164" s="68"/>
      <c r="P164" s="68"/>
      <c r="Q164" s="63"/>
      <c r="R164" s="63"/>
      <c r="S164" s="63"/>
      <c r="T164" s="63"/>
      <c r="U164" s="68"/>
      <c r="V164" s="63"/>
      <c r="W164" s="63"/>
      <c r="X164" s="309"/>
      <c r="Y164" s="63"/>
      <c r="Z164" s="63"/>
      <c r="AA164" s="63"/>
      <c r="AB164" s="63"/>
      <c r="AC164" s="63"/>
      <c r="AD164" s="8"/>
      <c r="AE164" s="142"/>
      <c r="AF164" s="142"/>
      <c r="AG164" s="142"/>
      <c r="AH164" s="142"/>
      <c r="AI164" s="203">
        <v>11</v>
      </c>
    </row>
    <row r="165" spans="1:35" s="203" customFormat="1" ht="11.45" customHeight="1">
      <c r="A165" s="572"/>
      <c r="B165" s="68"/>
      <c r="C165" s="68"/>
      <c r="N165" s="63"/>
      <c r="O165" s="68"/>
      <c r="P165" s="68"/>
      <c r="Q165" s="63"/>
      <c r="R165" s="63"/>
      <c r="S165" s="63"/>
      <c r="T165" s="63"/>
      <c r="U165" s="68"/>
      <c r="V165" s="63"/>
      <c r="W165" s="63"/>
      <c r="X165" s="309"/>
      <c r="Y165" s="63"/>
      <c r="Z165" s="63"/>
      <c r="AA165" s="63"/>
      <c r="AB165" s="63"/>
      <c r="AC165" s="63"/>
      <c r="AD165" s="8"/>
      <c r="AE165" s="142"/>
      <c r="AF165" s="142"/>
      <c r="AG165" s="142"/>
      <c r="AH165" s="142"/>
      <c r="AI165" s="203">
        <v>11</v>
      </c>
    </row>
    <row r="166" spans="1:35" s="203" customFormat="1" ht="11.45" customHeight="1">
      <c r="A166" s="572"/>
      <c r="B166" s="68"/>
      <c r="C166" s="68"/>
      <c r="N166" s="63"/>
      <c r="O166" s="68"/>
      <c r="P166" s="68"/>
      <c r="Q166" s="63"/>
      <c r="R166" s="63"/>
      <c r="S166" s="63"/>
      <c r="T166" s="63"/>
      <c r="U166" s="68"/>
      <c r="V166" s="63"/>
      <c r="W166" s="63"/>
      <c r="X166" s="309"/>
      <c r="Y166" s="63"/>
      <c r="Z166" s="63"/>
      <c r="AA166" s="63"/>
      <c r="AB166" s="63"/>
      <c r="AC166" s="63"/>
      <c r="AD166" s="8"/>
      <c r="AE166" s="142"/>
      <c r="AF166" s="142"/>
      <c r="AG166" s="142"/>
      <c r="AH166" s="142"/>
      <c r="AI166" s="203">
        <v>11</v>
      </c>
    </row>
    <row r="167" spans="1:35" s="203" customFormat="1" ht="11.45" customHeight="1">
      <c r="A167" s="572"/>
      <c r="B167" s="68"/>
      <c r="C167" s="68"/>
      <c r="N167" s="63"/>
      <c r="O167" s="68"/>
      <c r="P167" s="68"/>
      <c r="Q167" s="63"/>
      <c r="R167" s="63"/>
      <c r="S167" s="63"/>
      <c r="T167" s="63"/>
      <c r="U167" s="68"/>
      <c r="V167" s="63"/>
      <c r="W167" s="63"/>
      <c r="X167" s="309"/>
      <c r="Y167" s="63"/>
      <c r="Z167" s="63"/>
      <c r="AA167" s="63"/>
      <c r="AB167" s="63"/>
      <c r="AC167" s="63"/>
      <c r="AD167" s="8"/>
      <c r="AE167" s="142"/>
      <c r="AF167" s="142"/>
      <c r="AG167" s="142"/>
      <c r="AH167" s="142"/>
      <c r="AI167" s="203">
        <v>11</v>
      </c>
    </row>
    <row r="168" spans="1:35" s="203" customFormat="1" ht="11.45" customHeight="1">
      <c r="A168" s="572"/>
      <c r="B168" s="68"/>
      <c r="C168" s="68"/>
      <c r="N168" s="63"/>
      <c r="O168" s="68"/>
      <c r="P168" s="68"/>
      <c r="Q168" s="63"/>
      <c r="R168" s="63"/>
      <c r="S168" s="63"/>
      <c r="T168" s="63"/>
      <c r="U168" s="68"/>
      <c r="V168" s="63"/>
      <c r="W168" s="63"/>
      <c r="X168" s="309"/>
      <c r="Y168" s="63"/>
      <c r="Z168" s="63"/>
      <c r="AA168" s="63"/>
      <c r="AB168" s="63"/>
      <c r="AC168" s="63"/>
      <c r="AD168" s="8"/>
      <c r="AE168" s="142"/>
      <c r="AF168" s="142"/>
      <c r="AG168" s="142"/>
      <c r="AH168" s="142"/>
      <c r="AI168" s="203">
        <v>11</v>
      </c>
    </row>
    <row r="169" spans="1:35" s="203" customFormat="1" ht="11.45" customHeight="1">
      <c r="A169" s="572"/>
      <c r="B169" s="68"/>
      <c r="C169" s="68"/>
      <c r="N169" s="63"/>
      <c r="O169" s="68"/>
      <c r="P169" s="68"/>
      <c r="Q169" s="63"/>
      <c r="R169" s="63"/>
      <c r="S169" s="63"/>
      <c r="T169" s="63"/>
      <c r="U169" s="68"/>
      <c r="V169" s="63"/>
      <c r="W169" s="63"/>
      <c r="X169" s="309"/>
      <c r="Y169" s="63"/>
      <c r="Z169" s="63"/>
      <c r="AA169" s="63"/>
      <c r="AB169" s="63"/>
      <c r="AC169" s="63"/>
      <c r="AD169" s="8"/>
      <c r="AE169" s="142"/>
      <c r="AF169" s="142"/>
      <c r="AG169" s="142"/>
      <c r="AH169" s="142"/>
      <c r="AI169" s="203">
        <v>11</v>
      </c>
    </row>
    <row r="170" spans="1:35" s="203" customFormat="1" ht="11.45" customHeight="1">
      <c r="A170" s="572"/>
      <c r="B170" s="68"/>
      <c r="C170" s="68"/>
      <c r="N170" s="63"/>
      <c r="O170" s="68"/>
      <c r="P170" s="68"/>
      <c r="Q170" s="63"/>
      <c r="R170" s="63"/>
      <c r="S170" s="63"/>
      <c r="T170" s="63"/>
      <c r="U170" s="68"/>
      <c r="V170" s="63"/>
      <c r="W170" s="63"/>
      <c r="X170" s="309"/>
      <c r="Y170" s="63"/>
      <c r="Z170" s="63"/>
      <c r="AA170" s="63"/>
      <c r="AB170" s="63"/>
      <c r="AC170" s="63"/>
      <c r="AD170" s="8"/>
      <c r="AE170" s="142"/>
      <c r="AF170" s="142"/>
      <c r="AG170" s="142"/>
      <c r="AH170" s="142"/>
      <c r="AI170" s="203">
        <v>11</v>
      </c>
    </row>
    <row r="171" spans="1:35" s="203" customFormat="1" ht="11.45" customHeight="1">
      <c r="A171" s="572"/>
      <c r="B171" s="68"/>
      <c r="C171" s="68"/>
      <c r="N171" s="63"/>
      <c r="O171" s="68"/>
      <c r="P171" s="68"/>
      <c r="Q171" s="63"/>
      <c r="R171" s="63"/>
      <c r="S171" s="63"/>
      <c r="T171" s="63"/>
      <c r="U171" s="68"/>
      <c r="V171" s="63"/>
      <c r="W171" s="63"/>
      <c r="X171" s="309"/>
      <c r="Y171" s="63"/>
      <c r="Z171" s="63"/>
      <c r="AA171" s="63"/>
      <c r="AB171" s="63"/>
      <c r="AC171" s="63"/>
      <c r="AD171" s="8"/>
      <c r="AE171" s="142"/>
      <c r="AF171" s="142"/>
      <c r="AG171" s="142"/>
      <c r="AH171" s="142"/>
      <c r="AI171" s="203">
        <v>11</v>
      </c>
    </row>
    <row r="172" spans="1:35" s="203" customFormat="1" ht="11.45" customHeight="1">
      <c r="A172" s="572"/>
      <c r="B172" s="68"/>
      <c r="C172" s="68"/>
      <c r="N172" s="63"/>
      <c r="O172" s="68"/>
      <c r="P172" s="68"/>
      <c r="Q172" s="63"/>
      <c r="R172" s="63"/>
      <c r="S172" s="63"/>
      <c r="T172" s="63"/>
      <c r="U172" s="68"/>
      <c r="V172" s="63"/>
      <c r="W172" s="63"/>
      <c r="X172" s="309"/>
      <c r="Y172" s="63"/>
      <c r="Z172" s="63"/>
      <c r="AA172" s="63"/>
      <c r="AB172" s="63"/>
      <c r="AC172" s="63"/>
      <c r="AD172" s="8"/>
      <c r="AE172" s="142"/>
      <c r="AF172" s="142"/>
      <c r="AG172" s="142"/>
      <c r="AH172" s="142"/>
      <c r="AI172" s="203">
        <v>11</v>
      </c>
    </row>
    <row r="173" spans="1:35" s="203" customFormat="1" ht="11.45" customHeight="1">
      <c r="A173" s="572"/>
      <c r="B173" s="68"/>
      <c r="C173" s="68"/>
      <c r="N173" s="63"/>
      <c r="O173" s="68"/>
      <c r="P173" s="68"/>
      <c r="Q173" s="63"/>
      <c r="R173" s="63"/>
      <c r="S173" s="63"/>
      <c r="T173" s="63"/>
      <c r="U173" s="68"/>
      <c r="V173" s="63"/>
      <c r="W173" s="63"/>
      <c r="X173" s="309"/>
      <c r="Y173" s="63"/>
      <c r="Z173" s="63"/>
      <c r="AA173" s="63"/>
      <c r="AB173" s="63"/>
      <c r="AC173" s="63"/>
      <c r="AD173" s="8"/>
      <c r="AE173" s="142"/>
      <c r="AF173" s="142"/>
      <c r="AG173" s="142"/>
      <c r="AH173" s="142"/>
      <c r="AI173" s="203">
        <v>11</v>
      </c>
    </row>
    <row r="174" spans="1:35" s="203" customFormat="1" ht="11.45" customHeight="1">
      <c r="A174" s="572"/>
      <c r="B174" s="68"/>
      <c r="C174" s="68"/>
      <c r="N174" s="63"/>
      <c r="O174" s="68"/>
      <c r="P174" s="68"/>
      <c r="Q174" s="63"/>
      <c r="R174" s="63"/>
      <c r="S174" s="63"/>
      <c r="T174" s="63"/>
      <c r="U174" s="68"/>
      <c r="V174" s="63"/>
      <c r="W174" s="63"/>
      <c r="X174" s="309"/>
      <c r="Y174" s="63"/>
      <c r="Z174" s="63"/>
      <c r="AA174" s="63"/>
      <c r="AB174" s="63"/>
      <c r="AC174" s="63"/>
      <c r="AD174" s="8"/>
      <c r="AE174" s="142"/>
      <c r="AF174" s="142"/>
      <c r="AG174" s="142"/>
      <c r="AH174" s="142"/>
      <c r="AI174" s="203">
        <v>11</v>
      </c>
    </row>
    <row r="175" spans="1:35" s="203" customFormat="1" ht="11.45" customHeight="1">
      <c r="A175" s="572"/>
      <c r="B175" s="68"/>
      <c r="C175" s="68"/>
      <c r="N175" s="63"/>
      <c r="O175" s="68"/>
      <c r="P175" s="68"/>
      <c r="Q175" s="63"/>
      <c r="R175" s="63"/>
      <c r="S175" s="63"/>
      <c r="T175" s="63"/>
      <c r="U175" s="68"/>
      <c r="V175" s="63"/>
      <c r="W175" s="63"/>
      <c r="X175" s="309"/>
      <c r="Y175" s="63"/>
      <c r="Z175" s="63"/>
      <c r="AA175" s="63"/>
      <c r="AB175" s="63"/>
      <c r="AC175" s="63"/>
      <c r="AD175" s="8"/>
      <c r="AE175" s="142"/>
      <c r="AF175" s="142"/>
      <c r="AG175" s="142"/>
      <c r="AH175" s="142"/>
      <c r="AI175" s="203">
        <v>11</v>
      </c>
    </row>
    <row r="176" spans="1:35" s="203" customFormat="1" ht="11.45" customHeight="1">
      <c r="A176" s="572"/>
      <c r="B176" s="68"/>
      <c r="C176" s="68"/>
      <c r="N176" s="63"/>
      <c r="O176" s="68"/>
      <c r="P176" s="68"/>
      <c r="Q176" s="63"/>
      <c r="R176" s="63"/>
      <c r="S176" s="63"/>
      <c r="T176" s="63"/>
      <c r="U176" s="68"/>
      <c r="V176" s="63"/>
      <c r="W176" s="63"/>
      <c r="X176" s="309"/>
      <c r="Y176" s="63"/>
      <c r="Z176" s="63"/>
      <c r="AA176" s="63"/>
      <c r="AB176" s="63"/>
      <c r="AC176" s="63"/>
      <c r="AD176" s="8"/>
      <c r="AE176" s="142"/>
      <c r="AF176" s="142"/>
      <c r="AG176" s="142"/>
      <c r="AH176" s="142"/>
      <c r="AI176" s="203">
        <v>11</v>
      </c>
    </row>
    <row r="177" spans="1:35" s="203" customFormat="1" ht="11.45" customHeight="1">
      <c r="A177" s="572"/>
      <c r="B177" s="68"/>
      <c r="C177" s="68"/>
      <c r="N177" s="63"/>
      <c r="O177" s="68"/>
      <c r="P177" s="68"/>
      <c r="Q177" s="63"/>
      <c r="R177" s="63"/>
      <c r="S177" s="63"/>
      <c r="T177" s="63"/>
      <c r="U177" s="68"/>
      <c r="V177" s="63"/>
      <c r="W177" s="63"/>
      <c r="X177" s="309"/>
      <c r="Y177" s="63"/>
      <c r="Z177" s="63"/>
      <c r="AA177" s="63"/>
      <c r="AB177" s="63"/>
      <c r="AC177" s="63"/>
      <c r="AD177" s="8"/>
      <c r="AE177" s="142"/>
      <c r="AF177" s="142"/>
      <c r="AG177" s="142"/>
      <c r="AH177" s="142"/>
      <c r="AI177" s="203">
        <v>11</v>
      </c>
    </row>
    <row r="178" spans="1:35" s="203" customFormat="1" ht="11.45" customHeight="1">
      <c r="A178" s="572"/>
      <c r="B178" s="68"/>
      <c r="C178" s="68"/>
      <c r="N178" s="63"/>
      <c r="O178" s="68"/>
      <c r="P178" s="68"/>
      <c r="Q178" s="63"/>
      <c r="R178" s="63"/>
      <c r="S178" s="63"/>
      <c r="T178" s="63"/>
      <c r="U178" s="68"/>
      <c r="V178" s="63"/>
      <c r="W178" s="63"/>
      <c r="X178" s="309"/>
      <c r="Y178" s="63"/>
      <c r="Z178" s="63"/>
      <c r="AA178" s="63"/>
      <c r="AB178" s="63"/>
      <c r="AC178" s="63"/>
      <c r="AD178" s="8"/>
      <c r="AE178" s="142"/>
      <c r="AF178" s="142"/>
      <c r="AG178" s="142"/>
      <c r="AH178" s="142"/>
      <c r="AI178" s="203">
        <v>11</v>
      </c>
    </row>
    <row r="179" spans="1:35" s="203" customFormat="1" ht="11.45" customHeight="1">
      <c r="A179" s="572"/>
      <c r="B179" s="68"/>
      <c r="C179" s="68"/>
      <c r="N179" s="63"/>
      <c r="O179" s="68"/>
      <c r="P179" s="68"/>
      <c r="Q179" s="63"/>
      <c r="R179" s="63"/>
      <c r="S179" s="63"/>
      <c r="T179" s="63"/>
      <c r="U179" s="68"/>
      <c r="V179" s="63"/>
      <c r="W179" s="63"/>
      <c r="X179" s="309"/>
      <c r="Y179" s="63"/>
      <c r="Z179" s="63"/>
      <c r="AA179" s="63"/>
      <c r="AB179" s="63"/>
      <c r="AC179" s="63"/>
      <c r="AD179" s="8"/>
      <c r="AE179" s="142"/>
      <c r="AF179" s="142"/>
      <c r="AG179" s="142"/>
      <c r="AH179" s="142"/>
      <c r="AI179" s="203">
        <v>11</v>
      </c>
    </row>
    <row r="180" spans="1:35" s="203" customFormat="1" ht="11.45" customHeight="1">
      <c r="A180" s="572"/>
      <c r="B180" s="68"/>
      <c r="C180" s="68"/>
      <c r="N180" s="63"/>
      <c r="O180" s="68"/>
      <c r="P180" s="68"/>
      <c r="Q180" s="63"/>
      <c r="R180" s="63"/>
      <c r="S180" s="63"/>
      <c r="T180" s="63"/>
      <c r="U180" s="68"/>
      <c r="V180" s="63"/>
      <c r="W180" s="63"/>
      <c r="X180" s="309"/>
      <c r="Y180" s="63"/>
      <c r="Z180" s="63"/>
      <c r="AA180" s="63"/>
      <c r="AB180" s="63"/>
      <c r="AC180" s="63"/>
      <c r="AD180" s="8"/>
      <c r="AE180" s="142"/>
      <c r="AF180" s="142"/>
      <c r="AG180" s="142"/>
      <c r="AH180" s="142"/>
      <c r="AI180" s="203">
        <v>11</v>
      </c>
    </row>
    <row r="181" spans="1:35" s="203" customFormat="1" ht="11.45" customHeight="1">
      <c r="A181" s="572"/>
      <c r="B181" s="68"/>
      <c r="C181" s="68"/>
      <c r="N181" s="63"/>
      <c r="O181" s="68"/>
      <c r="P181" s="68"/>
      <c r="Q181" s="63"/>
      <c r="R181" s="63"/>
      <c r="S181" s="63"/>
      <c r="T181" s="63"/>
      <c r="U181" s="68"/>
      <c r="V181" s="63"/>
      <c r="W181" s="63"/>
      <c r="X181" s="309"/>
      <c r="Y181" s="63"/>
      <c r="Z181" s="63"/>
      <c r="AA181" s="63"/>
      <c r="AB181" s="63"/>
      <c r="AC181" s="63"/>
      <c r="AD181" s="8"/>
      <c r="AE181" s="142"/>
      <c r="AF181" s="142"/>
      <c r="AG181" s="142"/>
      <c r="AH181" s="142"/>
      <c r="AI181" s="203">
        <v>11</v>
      </c>
    </row>
    <row r="182" spans="1:35" s="203" customFormat="1" ht="11.45" customHeight="1">
      <c r="A182" s="572"/>
      <c r="B182" s="68"/>
      <c r="C182" s="68"/>
      <c r="N182" s="63"/>
      <c r="O182" s="68"/>
      <c r="P182" s="68"/>
      <c r="Q182" s="63"/>
      <c r="R182" s="63"/>
      <c r="S182" s="63"/>
      <c r="T182" s="63"/>
      <c r="U182" s="68"/>
      <c r="V182" s="63"/>
      <c r="W182" s="63"/>
      <c r="X182" s="309"/>
      <c r="Y182" s="63"/>
      <c r="Z182" s="63"/>
      <c r="AA182" s="63"/>
      <c r="AB182" s="63"/>
      <c r="AC182" s="63"/>
      <c r="AD182" s="8"/>
      <c r="AE182" s="142"/>
      <c r="AF182" s="142"/>
      <c r="AG182" s="142"/>
      <c r="AH182" s="142"/>
      <c r="AI182" s="203">
        <v>11</v>
      </c>
    </row>
    <row r="183" spans="1:35" s="203" customFormat="1" ht="11.45" customHeight="1">
      <c r="A183" s="572"/>
      <c r="B183" s="68"/>
      <c r="C183" s="68"/>
      <c r="N183" s="63"/>
      <c r="O183" s="68"/>
      <c r="P183" s="68"/>
      <c r="Q183" s="63"/>
      <c r="R183" s="63"/>
      <c r="S183" s="63"/>
      <c r="T183" s="63"/>
      <c r="U183" s="68"/>
      <c r="V183" s="63"/>
      <c r="W183" s="63"/>
      <c r="X183" s="309"/>
      <c r="Y183" s="63"/>
      <c r="Z183" s="63"/>
      <c r="AA183" s="63"/>
      <c r="AB183" s="63"/>
      <c r="AC183" s="63"/>
      <c r="AD183" s="8"/>
      <c r="AE183" s="142"/>
      <c r="AF183" s="142"/>
      <c r="AG183" s="142"/>
      <c r="AH183" s="142"/>
      <c r="AI183" s="203">
        <v>11</v>
      </c>
    </row>
    <row r="184" spans="1:35" s="203" customFormat="1" ht="11.45" customHeight="1">
      <c r="A184" s="572"/>
      <c r="B184" s="68"/>
      <c r="C184" s="68"/>
      <c r="N184" s="63"/>
      <c r="O184" s="68"/>
      <c r="P184" s="68"/>
      <c r="Q184" s="63"/>
      <c r="R184" s="63"/>
      <c r="S184" s="63"/>
      <c r="T184" s="63"/>
      <c r="U184" s="68"/>
      <c r="V184" s="63"/>
      <c r="W184" s="63"/>
      <c r="X184" s="309"/>
      <c r="Y184" s="63"/>
      <c r="Z184" s="63"/>
      <c r="AA184" s="63"/>
      <c r="AB184" s="63"/>
      <c r="AC184" s="63"/>
      <c r="AD184" s="8"/>
      <c r="AE184" s="142"/>
      <c r="AF184" s="142"/>
      <c r="AG184" s="142"/>
      <c r="AH184" s="142"/>
      <c r="AI184" s="203">
        <v>11</v>
      </c>
    </row>
    <row r="185" spans="1:35" s="203" customFormat="1" ht="11.45" customHeight="1">
      <c r="A185" s="572"/>
      <c r="B185" s="68"/>
      <c r="C185" s="68"/>
      <c r="N185" s="63"/>
      <c r="O185" s="68"/>
      <c r="P185" s="68"/>
      <c r="Q185" s="63"/>
      <c r="R185" s="63"/>
      <c r="S185" s="63"/>
      <c r="T185" s="63"/>
      <c r="U185" s="68"/>
      <c r="V185" s="63"/>
      <c r="W185" s="63"/>
      <c r="X185" s="309"/>
      <c r="Y185" s="63"/>
      <c r="Z185" s="63"/>
      <c r="AA185" s="63"/>
      <c r="AB185" s="63"/>
      <c r="AC185" s="63"/>
      <c r="AD185" s="8"/>
      <c r="AE185" s="142"/>
      <c r="AF185" s="142"/>
      <c r="AG185" s="142"/>
      <c r="AH185" s="142"/>
      <c r="AI185" s="203">
        <v>11</v>
      </c>
    </row>
    <row r="186" spans="1:35" s="203" customFormat="1" ht="11.45" customHeight="1">
      <c r="A186" s="572"/>
      <c r="B186" s="68"/>
      <c r="C186" s="68"/>
      <c r="N186" s="63"/>
      <c r="O186" s="68"/>
      <c r="P186" s="68"/>
      <c r="Q186" s="63"/>
      <c r="R186" s="63"/>
      <c r="S186" s="63"/>
      <c r="T186" s="63"/>
      <c r="U186" s="68"/>
      <c r="V186" s="63"/>
      <c r="W186" s="63"/>
      <c r="X186" s="309"/>
      <c r="Y186" s="63"/>
      <c r="Z186" s="63"/>
      <c r="AA186" s="63"/>
      <c r="AB186" s="63"/>
      <c r="AC186" s="63"/>
      <c r="AD186" s="8"/>
      <c r="AE186" s="142"/>
      <c r="AF186" s="142"/>
      <c r="AG186" s="142"/>
      <c r="AH186" s="142"/>
      <c r="AI186" s="203">
        <v>11</v>
      </c>
    </row>
    <row r="187" spans="1:35" s="203" customFormat="1" ht="11.45" customHeight="1">
      <c r="A187" s="572"/>
      <c r="B187" s="68"/>
      <c r="C187" s="68"/>
      <c r="N187" s="63"/>
      <c r="O187" s="68"/>
      <c r="P187" s="68"/>
      <c r="Q187" s="63"/>
      <c r="R187" s="63"/>
      <c r="S187" s="63"/>
      <c r="T187" s="63"/>
      <c r="U187" s="68"/>
      <c r="V187" s="63"/>
      <c r="W187" s="63"/>
      <c r="X187" s="309"/>
      <c r="Y187" s="63"/>
      <c r="Z187" s="63"/>
      <c r="AA187" s="63"/>
      <c r="AB187" s="63"/>
      <c r="AC187" s="63"/>
      <c r="AD187" s="8"/>
      <c r="AE187" s="142"/>
      <c r="AF187" s="142"/>
      <c r="AG187" s="142"/>
      <c r="AH187" s="142"/>
      <c r="AI187" s="203">
        <v>11</v>
      </c>
    </row>
    <row r="188" spans="1:35" s="203" customFormat="1" ht="11.45" customHeight="1">
      <c r="A188" s="572"/>
      <c r="B188" s="68"/>
      <c r="C188" s="68"/>
      <c r="N188" s="63"/>
      <c r="O188" s="68"/>
      <c r="P188" s="68"/>
      <c r="Q188" s="63"/>
      <c r="R188" s="63"/>
      <c r="S188" s="63"/>
      <c r="T188" s="63"/>
      <c r="U188" s="68"/>
      <c r="V188" s="63"/>
      <c r="W188" s="63"/>
      <c r="X188" s="309"/>
      <c r="Y188" s="63"/>
      <c r="Z188" s="63"/>
      <c r="AA188" s="63"/>
      <c r="AB188" s="63"/>
      <c r="AC188" s="63"/>
      <c r="AD188" s="8"/>
      <c r="AE188" s="142"/>
      <c r="AF188" s="142"/>
      <c r="AG188" s="142"/>
      <c r="AH188" s="142"/>
      <c r="AI188" s="203">
        <v>11</v>
      </c>
    </row>
    <row r="189" spans="1:35" s="203" customFormat="1" ht="11.45" customHeight="1">
      <c r="A189" s="572"/>
      <c r="B189" s="68"/>
      <c r="C189" s="68"/>
      <c r="N189" s="63"/>
      <c r="O189" s="68"/>
      <c r="P189" s="68"/>
      <c r="Q189" s="63"/>
      <c r="R189" s="63"/>
      <c r="S189" s="63"/>
      <c r="T189" s="63"/>
      <c r="U189" s="68"/>
      <c r="V189" s="63"/>
      <c r="W189" s="63"/>
      <c r="X189" s="309"/>
      <c r="Y189" s="63"/>
      <c r="Z189" s="63"/>
      <c r="AA189" s="63"/>
      <c r="AB189" s="63"/>
      <c r="AC189" s="63"/>
      <c r="AD189" s="8"/>
      <c r="AE189" s="142"/>
      <c r="AF189" s="142"/>
      <c r="AG189" s="142"/>
      <c r="AH189" s="142"/>
      <c r="AI189" s="203">
        <v>11</v>
      </c>
    </row>
    <row r="190" spans="1:35" s="203" customFormat="1" ht="11.45" customHeight="1">
      <c r="A190" s="572"/>
      <c r="B190" s="68"/>
      <c r="C190" s="68"/>
      <c r="N190" s="63"/>
      <c r="O190" s="68"/>
      <c r="P190" s="68"/>
      <c r="Q190" s="63"/>
      <c r="R190" s="63"/>
      <c r="S190" s="63"/>
      <c r="T190" s="63"/>
      <c r="U190" s="68"/>
      <c r="V190" s="63"/>
      <c r="W190" s="63"/>
      <c r="X190" s="309"/>
      <c r="Y190" s="63"/>
      <c r="Z190" s="63"/>
      <c r="AA190" s="63"/>
      <c r="AB190" s="63"/>
      <c r="AC190" s="63"/>
      <c r="AD190" s="8"/>
      <c r="AE190" s="142"/>
      <c r="AF190" s="142"/>
      <c r="AG190" s="142"/>
      <c r="AH190" s="142"/>
      <c r="AI190" s="203">
        <v>11</v>
      </c>
    </row>
    <row r="191" spans="1:35" s="203" customFormat="1" ht="11.45" customHeight="1">
      <c r="A191" s="572"/>
      <c r="B191" s="68"/>
      <c r="C191" s="68"/>
      <c r="N191" s="63"/>
      <c r="O191" s="68"/>
      <c r="P191" s="68"/>
      <c r="Q191" s="63"/>
      <c r="R191" s="63"/>
      <c r="S191" s="63"/>
      <c r="T191" s="63"/>
      <c r="U191" s="68"/>
      <c r="V191" s="63"/>
      <c r="W191" s="63"/>
      <c r="X191" s="309"/>
      <c r="Y191" s="63"/>
      <c r="Z191" s="63"/>
      <c r="AA191" s="63"/>
      <c r="AB191" s="63"/>
      <c r="AC191" s="63"/>
      <c r="AD191" s="8"/>
      <c r="AE191" s="142"/>
      <c r="AF191" s="142"/>
      <c r="AG191" s="142"/>
      <c r="AH191" s="142"/>
      <c r="AI191" s="203">
        <v>11</v>
      </c>
    </row>
    <row r="192" spans="1:35" s="203" customFormat="1" ht="11.45" customHeight="1">
      <c r="A192" s="572"/>
      <c r="B192" s="68"/>
      <c r="C192" s="68"/>
      <c r="N192" s="63"/>
      <c r="O192" s="68"/>
      <c r="P192" s="68"/>
      <c r="Q192" s="63"/>
      <c r="R192" s="63"/>
      <c r="S192" s="63"/>
      <c r="T192" s="63"/>
      <c r="U192" s="68"/>
      <c r="V192" s="63"/>
      <c r="W192" s="63"/>
      <c r="X192" s="309"/>
      <c r="Y192" s="63"/>
      <c r="Z192" s="63"/>
      <c r="AA192" s="63"/>
      <c r="AB192" s="63"/>
      <c r="AC192" s="63"/>
      <c r="AD192" s="8"/>
      <c r="AE192" s="142"/>
      <c r="AF192" s="142"/>
      <c r="AG192" s="142"/>
      <c r="AH192" s="142"/>
      <c r="AI192" s="203">
        <v>11</v>
      </c>
    </row>
    <row r="193" spans="1:35" s="203" customFormat="1" ht="11.45" customHeight="1">
      <c r="A193" s="572"/>
      <c r="B193" s="68"/>
      <c r="C193" s="68"/>
      <c r="N193" s="63"/>
      <c r="O193" s="68"/>
      <c r="P193" s="68"/>
      <c r="Q193" s="63"/>
      <c r="R193" s="63"/>
      <c r="S193" s="63"/>
      <c r="T193" s="63"/>
      <c r="U193" s="68"/>
      <c r="V193" s="63"/>
      <c r="W193" s="63"/>
      <c r="X193" s="309"/>
      <c r="Y193" s="63"/>
      <c r="Z193" s="63"/>
      <c r="AA193" s="63"/>
      <c r="AB193" s="63"/>
      <c r="AC193" s="63"/>
      <c r="AD193" s="8"/>
      <c r="AE193" s="142"/>
      <c r="AF193" s="142"/>
      <c r="AG193" s="142"/>
      <c r="AH193" s="142"/>
      <c r="AI193" s="203">
        <v>11</v>
      </c>
    </row>
    <row r="194" spans="1:35" s="203" customFormat="1" ht="11.45" customHeight="1">
      <c r="A194" s="572"/>
      <c r="B194" s="68"/>
      <c r="C194" s="68"/>
      <c r="N194" s="63"/>
      <c r="O194" s="68"/>
      <c r="P194" s="68"/>
      <c r="Q194" s="63"/>
      <c r="R194" s="63"/>
      <c r="S194" s="63"/>
      <c r="T194" s="63"/>
      <c r="U194" s="68"/>
      <c r="V194" s="63"/>
      <c r="W194" s="63"/>
      <c r="X194" s="309"/>
      <c r="Y194" s="63"/>
      <c r="Z194" s="63"/>
      <c r="AA194" s="63"/>
      <c r="AB194" s="63"/>
      <c r="AC194" s="63"/>
      <c r="AD194" s="8"/>
      <c r="AE194" s="142"/>
      <c r="AF194" s="142"/>
      <c r="AG194" s="142"/>
      <c r="AH194" s="142"/>
      <c r="AI194" s="203">
        <v>11</v>
      </c>
    </row>
    <row r="195" spans="1:35" s="203" customFormat="1" ht="11.45" customHeight="1">
      <c r="A195" s="572"/>
      <c r="B195" s="68"/>
      <c r="C195" s="68"/>
      <c r="N195" s="63"/>
      <c r="O195" s="68"/>
      <c r="P195" s="68"/>
      <c r="Q195" s="63"/>
      <c r="R195" s="63"/>
      <c r="S195" s="63"/>
      <c r="T195" s="63"/>
      <c r="U195" s="68"/>
      <c r="V195" s="63"/>
      <c r="W195" s="63"/>
      <c r="X195" s="309"/>
      <c r="Y195" s="63"/>
      <c r="Z195" s="63"/>
      <c r="AA195" s="63"/>
      <c r="AB195" s="63"/>
      <c r="AC195" s="63"/>
      <c r="AD195" s="8"/>
      <c r="AE195" s="142"/>
      <c r="AF195" s="142"/>
      <c r="AG195" s="142"/>
      <c r="AH195" s="142"/>
      <c r="AI195" s="203">
        <v>11</v>
      </c>
    </row>
    <row r="196" spans="1:35" s="203" customFormat="1" ht="11.45" customHeight="1">
      <c r="A196" s="572"/>
      <c r="B196" s="68"/>
      <c r="C196" s="68"/>
      <c r="N196" s="63"/>
      <c r="O196" s="68"/>
      <c r="P196" s="68"/>
      <c r="Q196" s="63"/>
      <c r="R196" s="63"/>
      <c r="S196" s="63"/>
      <c r="T196" s="63"/>
      <c r="U196" s="68"/>
      <c r="V196" s="63"/>
      <c r="W196" s="63"/>
      <c r="X196" s="309"/>
      <c r="Y196" s="63"/>
      <c r="Z196" s="63"/>
      <c r="AA196" s="63"/>
      <c r="AB196" s="63"/>
      <c r="AC196" s="63"/>
      <c r="AD196" s="8"/>
      <c r="AE196" s="142"/>
      <c r="AF196" s="142"/>
      <c r="AG196" s="142"/>
      <c r="AH196" s="142"/>
      <c r="AI196" s="203">
        <v>11</v>
      </c>
    </row>
    <row r="197" spans="1:35" s="203" customFormat="1" ht="11.45" customHeight="1">
      <c r="A197" s="572"/>
      <c r="B197" s="68"/>
      <c r="C197" s="68"/>
      <c r="N197" s="63"/>
      <c r="O197" s="68"/>
      <c r="P197" s="68"/>
      <c r="Q197" s="63"/>
      <c r="R197" s="63"/>
      <c r="S197" s="63"/>
      <c r="T197" s="63"/>
      <c r="U197" s="68"/>
      <c r="V197" s="63"/>
      <c r="W197" s="63"/>
      <c r="X197" s="309"/>
      <c r="Y197" s="63"/>
      <c r="Z197" s="63"/>
      <c r="AA197" s="63"/>
      <c r="AB197" s="63"/>
      <c r="AC197" s="63"/>
      <c r="AD197" s="8"/>
      <c r="AE197" s="142"/>
      <c r="AF197" s="142"/>
      <c r="AG197" s="142"/>
      <c r="AH197" s="142"/>
      <c r="AI197" s="203">
        <v>11</v>
      </c>
    </row>
    <row r="198" spans="1:35" s="203" customFormat="1" ht="11.45" customHeight="1">
      <c r="A198" s="572"/>
      <c r="B198" s="68"/>
      <c r="C198" s="68"/>
      <c r="N198" s="63"/>
      <c r="O198" s="68"/>
      <c r="P198" s="68"/>
      <c r="Q198" s="63"/>
      <c r="R198" s="63"/>
      <c r="S198" s="63"/>
      <c r="T198" s="63"/>
      <c r="U198" s="68"/>
      <c r="V198" s="63"/>
      <c r="W198" s="63"/>
      <c r="X198" s="309"/>
      <c r="Y198" s="63"/>
      <c r="Z198" s="63"/>
      <c r="AA198" s="63"/>
      <c r="AB198" s="63"/>
      <c r="AC198" s="63"/>
      <c r="AD198" s="8"/>
      <c r="AE198" s="142"/>
      <c r="AF198" s="142"/>
      <c r="AG198" s="142"/>
      <c r="AH198" s="142"/>
      <c r="AI198" s="203">
        <v>11</v>
      </c>
    </row>
    <row r="199" spans="1:35" s="203" customFormat="1" ht="11.45" customHeight="1">
      <c r="A199" s="572"/>
      <c r="B199" s="68"/>
      <c r="C199" s="68"/>
      <c r="N199" s="63"/>
      <c r="O199" s="68"/>
      <c r="P199" s="68"/>
      <c r="Q199" s="63"/>
      <c r="R199" s="63"/>
      <c r="S199" s="63"/>
      <c r="T199" s="63"/>
      <c r="U199" s="68"/>
      <c r="V199" s="63"/>
      <c r="W199" s="63"/>
      <c r="X199" s="309"/>
      <c r="Y199" s="63"/>
      <c r="Z199" s="63"/>
      <c r="AA199" s="63"/>
      <c r="AB199" s="63"/>
      <c r="AC199" s="63"/>
      <c r="AD199" s="8"/>
      <c r="AE199" s="142"/>
      <c r="AF199" s="142"/>
      <c r="AG199" s="142"/>
      <c r="AH199" s="142"/>
      <c r="AI199" s="203">
        <v>11</v>
      </c>
    </row>
    <row r="200" spans="1:35" s="203" customFormat="1" ht="11.45" customHeight="1">
      <c r="A200" s="572"/>
      <c r="B200" s="68"/>
      <c r="C200" s="68"/>
      <c r="N200" s="63"/>
      <c r="O200" s="68"/>
      <c r="P200" s="68"/>
      <c r="Q200" s="63"/>
      <c r="R200" s="63"/>
      <c r="S200" s="63"/>
      <c r="T200" s="63"/>
      <c r="U200" s="68"/>
      <c r="V200" s="63"/>
      <c r="W200" s="63"/>
      <c r="X200" s="309"/>
      <c r="Y200" s="63"/>
      <c r="Z200" s="63"/>
      <c r="AA200" s="63"/>
      <c r="AB200" s="63"/>
      <c r="AC200" s="63"/>
      <c r="AD200" s="8"/>
      <c r="AE200" s="142"/>
      <c r="AF200" s="142"/>
      <c r="AG200" s="142"/>
      <c r="AH200" s="142"/>
      <c r="AI200" s="203">
        <v>11</v>
      </c>
    </row>
    <row r="201" spans="1:35" s="203" customFormat="1" ht="11.45" customHeight="1">
      <c r="A201" s="572"/>
      <c r="B201" s="68"/>
      <c r="C201" s="68"/>
      <c r="N201" s="63"/>
      <c r="O201" s="68"/>
      <c r="P201" s="68"/>
      <c r="Q201" s="63"/>
      <c r="R201" s="63"/>
      <c r="S201" s="63"/>
      <c r="T201" s="63"/>
      <c r="U201" s="68"/>
      <c r="V201" s="63"/>
      <c r="W201" s="63"/>
      <c r="X201" s="309"/>
      <c r="Y201" s="63"/>
      <c r="Z201" s="63"/>
      <c r="AA201" s="63"/>
      <c r="AB201" s="63"/>
      <c r="AC201" s="63"/>
      <c r="AD201" s="8"/>
      <c r="AE201" s="142"/>
      <c r="AF201" s="142"/>
      <c r="AG201" s="142"/>
      <c r="AH201" s="142"/>
      <c r="AI201" s="203">
        <v>11</v>
      </c>
    </row>
    <row r="202" spans="1:35" s="203" customFormat="1" ht="11.45" customHeight="1">
      <c r="A202" s="572"/>
      <c r="B202" s="68"/>
      <c r="C202" s="68"/>
      <c r="N202" s="63"/>
      <c r="O202" s="68"/>
      <c r="P202" s="68"/>
      <c r="Q202" s="63"/>
      <c r="R202" s="63"/>
      <c r="S202" s="63"/>
      <c r="T202" s="63"/>
      <c r="U202" s="68"/>
      <c r="V202" s="63"/>
      <c r="W202" s="63"/>
      <c r="X202" s="309"/>
      <c r="Y202" s="63"/>
      <c r="Z202" s="63"/>
      <c r="AA202" s="63"/>
      <c r="AB202" s="63"/>
      <c r="AC202" s="63"/>
      <c r="AD202" s="8"/>
      <c r="AE202" s="142"/>
      <c r="AF202" s="142"/>
      <c r="AG202" s="142"/>
      <c r="AH202" s="142"/>
      <c r="AI202" s="203">
        <v>11</v>
      </c>
    </row>
    <row r="203" spans="1:35" s="203" customFormat="1" ht="11.45" customHeight="1">
      <c r="A203" s="572"/>
      <c r="B203" s="68"/>
      <c r="C203" s="68"/>
      <c r="N203" s="63"/>
      <c r="O203" s="68"/>
      <c r="P203" s="68"/>
      <c r="Q203" s="63"/>
      <c r="R203" s="63"/>
      <c r="S203" s="63"/>
      <c r="T203" s="63"/>
      <c r="U203" s="68"/>
      <c r="V203" s="63"/>
      <c r="W203" s="63"/>
      <c r="X203" s="309"/>
      <c r="Y203" s="63"/>
      <c r="Z203" s="63"/>
      <c r="AA203" s="63"/>
      <c r="AB203" s="63"/>
      <c r="AC203" s="63"/>
      <c r="AD203" s="8"/>
      <c r="AE203" s="142"/>
      <c r="AF203" s="142"/>
      <c r="AG203" s="142"/>
      <c r="AH203" s="142"/>
      <c r="AI203" s="203">
        <v>11</v>
      </c>
    </row>
    <row r="204" spans="1:35" s="203" customFormat="1" ht="11.45" customHeight="1">
      <c r="A204" s="572"/>
      <c r="B204" s="68"/>
      <c r="C204" s="68"/>
      <c r="N204" s="63"/>
      <c r="O204" s="68"/>
      <c r="P204" s="68"/>
      <c r="Q204" s="63"/>
      <c r="R204" s="63"/>
      <c r="S204" s="63"/>
      <c r="T204" s="63"/>
      <c r="U204" s="68"/>
      <c r="V204" s="63"/>
      <c r="W204" s="63"/>
      <c r="X204" s="309"/>
      <c r="Y204" s="63"/>
      <c r="Z204" s="63"/>
      <c r="AA204" s="63"/>
      <c r="AB204" s="63"/>
      <c r="AC204" s="63"/>
      <c r="AD204" s="8"/>
      <c r="AE204" s="142"/>
      <c r="AF204" s="142"/>
      <c r="AG204" s="142"/>
      <c r="AH204" s="142"/>
      <c r="AI204" s="203">
        <v>11</v>
      </c>
    </row>
    <row r="205" spans="1:35" ht="11.45" customHeight="1">
      <c r="AI205" s="11">
        <v>11</v>
      </c>
    </row>
    <row r="206" spans="1:35" ht="11.45" customHeight="1">
      <c r="AI206" s="11">
        <v>11</v>
      </c>
    </row>
    <row r="207" spans="1:35" ht="11.45" customHeight="1">
      <c r="AI207" s="11">
        <v>11</v>
      </c>
    </row>
    <row r="208" spans="1:35" ht="11.45" customHeight="1">
      <c r="A208" s="575"/>
      <c r="B208" s="11"/>
      <c r="N208" s="11"/>
      <c r="Q208" s="11"/>
      <c r="R208" s="11"/>
      <c r="S208" s="11"/>
      <c r="T208" s="11"/>
      <c r="V208" s="11"/>
      <c r="W208" s="11"/>
      <c r="X208" s="11"/>
      <c r="Y208" s="11"/>
      <c r="Z208" s="11"/>
      <c r="AA208" s="11"/>
      <c r="AB208" s="11"/>
      <c r="AC208" s="11"/>
      <c r="AD208" s="11"/>
      <c r="AE208" s="11"/>
      <c r="AF208" s="11"/>
      <c r="AG208" s="11"/>
      <c r="AH208" s="11"/>
      <c r="AI208" s="11">
        <v>11</v>
      </c>
    </row>
    <row r="209" spans="1:35" ht="11.45" customHeight="1">
      <c r="A209" s="575"/>
      <c r="B209" s="11"/>
      <c r="N209" s="11"/>
      <c r="Q209" s="11"/>
      <c r="R209" s="11"/>
      <c r="S209" s="11"/>
      <c r="T209" s="11"/>
      <c r="V209" s="11"/>
      <c r="W209" s="11"/>
      <c r="X209" s="11"/>
      <c r="Y209" s="11"/>
      <c r="Z209" s="11"/>
      <c r="AA209" s="11"/>
      <c r="AB209" s="11"/>
      <c r="AC209" s="11"/>
      <c r="AD209" s="11"/>
      <c r="AE209" s="11"/>
      <c r="AF209" s="11"/>
      <c r="AG209" s="11"/>
      <c r="AH209" s="11"/>
      <c r="AI209" s="11">
        <v>11</v>
      </c>
    </row>
    <row r="210" spans="1:35" ht="11.45" customHeight="1">
      <c r="A210" s="575"/>
      <c r="B210" s="11"/>
      <c r="N210" s="11"/>
      <c r="Q210" s="11"/>
      <c r="R210" s="11"/>
      <c r="S210" s="11"/>
      <c r="T210" s="11"/>
      <c r="V210" s="11"/>
      <c r="W210" s="11"/>
      <c r="X210" s="11"/>
      <c r="Y210" s="11"/>
      <c r="Z210" s="11"/>
      <c r="AA210" s="11"/>
      <c r="AB210" s="11"/>
      <c r="AC210" s="11"/>
      <c r="AD210" s="11"/>
      <c r="AE210" s="11"/>
      <c r="AF210" s="11"/>
      <c r="AG210" s="11"/>
      <c r="AH210" s="11"/>
      <c r="AI210" s="11">
        <v>11</v>
      </c>
    </row>
    <row r="211" spans="1:35" ht="11.45" customHeight="1">
      <c r="A211" s="575"/>
      <c r="B211" s="11"/>
      <c r="N211" s="11"/>
      <c r="Q211" s="11"/>
      <c r="R211" s="11"/>
      <c r="S211" s="11"/>
      <c r="T211" s="11"/>
      <c r="V211" s="11"/>
      <c r="W211" s="11"/>
      <c r="X211" s="11"/>
      <c r="Y211" s="11"/>
      <c r="Z211" s="11"/>
      <c r="AA211" s="11"/>
      <c r="AB211" s="11"/>
      <c r="AC211" s="11"/>
      <c r="AD211" s="11"/>
      <c r="AE211" s="11"/>
      <c r="AF211" s="11"/>
      <c r="AG211" s="11"/>
      <c r="AH211" s="11"/>
      <c r="AI211" s="11">
        <v>11</v>
      </c>
    </row>
    <row r="212" spans="1:35" ht="11.45" customHeight="1">
      <c r="A212" s="575"/>
      <c r="B212" s="11"/>
      <c r="N212" s="11"/>
      <c r="Q212" s="11"/>
      <c r="R212" s="11"/>
      <c r="S212" s="11"/>
      <c r="T212" s="11"/>
      <c r="V212" s="11"/>
      <c r="W212" s="11"/>
      <c r="X212" s="11"/>
      <c r="Y212" s="11"/>
      <c r="Z212" s="11"/>
      <c r="AA212" s="11"/>
      <c r="AB212" s="11"/>
      <c r="AC212" s="11"/>
      <c r="AD212" s="11"/>
      <c r="AE212" s="11"/>
      <c r="AF212" s="11"/>
      <c r="AG212" s="11"/>
      <c r="AH212" s="11"/>
      <c r="AI212" s="11">
        <v>11</v>
      </c>
    </row>
    <row r="213" spans="1:35" ht="11.45" customHeight="1">
      <c r="A213" s="575"/>
      <c r="B213" s="11"/>
      <c r="N213" s="11"/>
      <c r="Q213" s="11"/>
      <c r="R213" s="11"/>
      <c r="S213" s="11"/>
      <c r="T213" s="11"/>
      <c r="V213" s="11"/>
      <c r="W213" s="11"/>
      <c r="X213" s="11"/>
      <c r="Y213" s="11"/>
      <c r="Z213" s="11"/>
      <c r="AA213" s="11"/>
      <c r="AB213" s="11"/>
      <c r="AC213" s="11"/>
      <c r="AD213" s="11"/>
      <c r="AE213" s="11"/>
      <c r="AF213" s="11"/>
      <c r="AG213" s="11"/>
      <c r="AH213" s="11"/>
      <c r="AI213" s="11">
        <v>11</v>
      </c>
    </row>
    <row r="214" spans="1:35" ht="11.45" customHeight="1">
      <c r="A214" s="575"/>
      <c r="B214" s="11"/>
      <c r="N214" s="11"/>
      <c r="Q214" s="11"/>
      <c r="R214" s="11"/>
      <c r="S214" s="11"/>
      <c r="T214" s="11"/>
      <c r="V214" s="11"/>
      <c r="W214" s="11"/>
      <c r="X214" s="11"/>
      <c r="Y214" s="11"/>
      <c r="Z214" s="11"/>
      <c r="AA214" s="11"/>
      <c r="AB214" s="11"/>
      <c r="AC214" s="11"/>
      <c r="AD214" s="11"/>
      <c r="AE214" s="11"/>
      <c r="AF214" s="11"/>
      <c r="AG214" s="11"/>
      <c r="AH214" s="11"/>
      <c r="AI214" s="11">
        <v>11</v>
      </c>
    </row>
    <row r="215" spans="1:35" ht="11.45" customHeight="1">
      <c r="A215" s="575"/>
      <c r="B215" s="11"/>
      <c r="N215" s="11"/>
      <c r="Q215" s="11"/>
      <c r="R215" s="11"/>
      <c r="S215" s="11"/>
      <c r="T215" s="11"/>
      <c r="V215" s="11"/>
      <c r="W215" s="11"/>
      <c r="X215" s="11"/>
      <c r="Y215" s="11"/>
      <c r="Z215" s="11"/>
      <c r="AA215" s="11"/>
      <c r="AB215" s="11"/>
      <c r="AC215" s="11"/>
      <c r="AD215" s="11"/>
      <c r="AE215" s="11"/>
      <c r="AF215" s="11"/>
      <c r="AG215" s="11"/>
      <c r="AH215" s="11"/>
      <c r="AI215" s="11">
        <v>11</v>
      </c>
    </row>
    <row r="216" spans="1:35" ht="11.45" customHeight="1">
      <c r="A216" s="575"/>
      <c r="B216" s="11"/>
      <c r="N216" s="11"/>
      <c r="Q216" s="11"/>
      <c r="R216" s="11"/>
      <c r="S216" s="11"/>
      <c r="T216" s="11"/>
      <c r="V216" s="11"/>
      <c r="W216" s="11"/>
      <c r="X216" s="11"/>
      <c r="Y216" s="11"/>
      <c r="Z216" s="11"/>
      <c r="AA216" s="11"/>
      <c r="AB216" s="11"/>
      <c r="AC216" s="11"/>
      <c r="AD216" s="11"/>
      <c r="AE216" s="11"/>
      <c r="AF216" s="11"/>
      <c r="AG216" s="11"/>
      <c r="AH216" s="11"/>
      <c r="AI216" s="11">
        <v>11</v>
      </c>
    </row>
    <row r="217" spans="1:35" ht="11.45" customHeight="1">
      <c r="A217" s="575"/>
      <c r="B217" s="11"/>
      <c r="N217" s="11"/>
      <c r="Q217" s="11"/>
      <c r="R217" s="11"/>
      <c r="S217" s="11"/>
      <c r="T217" s="11"/>
      <c r="V217" s="11"/>
      <c r="W217" s="11"/>
      <c r="X217" s="11"/>
      <c r="Y217" s="11"/>
      <c r="Z217" s="11"/>
      <c r="AA217" s="11"/>
      <c r="AB217" s="11"/>
      <c r="AC217" s="11"/>
      <c r="AD217" s="11"/>
      <c r="AE217" s="11"/>
      <c r="AF217" s="11"/>
      <c r="AG217" s="11"/>
      <c r="AH217" s="11"/>
      <c r="AI217" s="11">
        <v>11</v>
      </c>
    </row>
    <row r="218" spans="1:35" ht="11.45" customHeight="1">
      <c r="A218" s="575"/>
      <c r="B218" s="11"/>
      <c r="N218" s="11"/>
      <c r="Q218" s="11"/>
      <c r="R218" s="11"/>
      <c r="S218" s="11"/>
      <c r="T218" s="11"/>
      <c r="V218" s="11"/>
      <c r="W218" s="11"/>
      <c r="X218" s="11"/>
      <c r="Y218" s="11"/>
      <c r="Z218" s="11"/>
      <c r="AA218" s="11"/>
      <c r="AB218" s="11"/>
      <c r="AC218" s="11"/>
      <c r="AD218" s="11"/>
      <c r="AE218" s="11"/>
      <c r="AF218" s="11"/>
      <c r="AG218" s="11"/>
      <c r="AH218" s="11"/>
      <c r="AI218" s="11">
        <v>11</v>
      </c>
    </row>
    <row r="219" spans="1:35" ht="11.25" hidden="1" customHeight="1">
      <c r="A219" s="572" t="s">
        <v>82</v>
      </c>
      <c r="B219" s="63">
        <v>0</v>
      </c>
      <c r="C219" s="68">
        <v>0</v>
      </c>
      <c r="D219" s="11">
        <v>3</v>
      </c>
      <c r="E219" s="11">
        <v>7</v>
      </c>
      <c r="F219" s="11">
        <v>56</v>
      </c>
      <c r="G219" s="11">
        <v>10</v>
      </c>
      <c r="H219" s="11">
        <v>0</v>
      </c>
      <c r="I219" s="11">
        <v>40</v>
      </c>
      <c r="J219" s="11">
        <v>0</v>
      </c>
      <c r="K219" s="11">
        <v>0</v>
      </c>
      <c r="L219" s="11">
        <v>0</v>
      </c>
      <c r="M219" s="11">
        <v>102</v>
      </c>
      <c r="N219" s="63">
        <v>9</v>
      </c>
      <c r="O219" s="68">
        <v>5</v>
      </c>
      <c r="P219" s="68">
        <v>3</v>
      </c>
      <c r="Q219" s="63">
        <v>3</v>
      </c>
      <c r="R219" s="63">
        <v>3</v>
      </c>
      <c r="S219" s="63">
        <v>3</v>
      </c>
      <c r="T219" s="63">
        <v>3</v>
      </c>
      <c r="U219" s="68">
        <v>10</v>
      </c>
      <c r="V219" s="63">
        <v>34</v>
      </c>
      <c r="W219" s="63">
        <v>9</v>
      </c>
      <c r="X219" s="309">
        <v>8</v>
      </c>
      <c r="Y219" s="63">
        <v>8</v>
      </c>
      <c r="Z219" s="63">
        <v>8</v>
      </c>
      <c r="AA219" s="63">
        <v>8</v>
      </c>
      <c r="AB219" s="63">
        <v>8</v>
      </c>
      <c r="AC219" s="63">
        <v>8</v>
      </c>
      <c r="AD219" s="8">
        <v>8</v>
      </c>
      <c r="AE219" s="8">
        <v>8</v>
      </c>
      <c r="AF219" s="8">
        <v>8</v>
      </c>
      <c r="AG219" s="8">
        <v>8</v>
      </c>
      <c r="AH219" s="8">
        <v>8</v>
      </c>
      <c r="AI219" s="11">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decimal" allowBlank="1" showErrorMessage="1" errorTitle="Ошибка" error="Допускается ввод только действительных чисел!" sqref="H42:L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L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L45" xr:uid="{00000000-0002-0000-2400-000002000000}">
      <formula1>900</formula1>
    </dataValidation>
    <dataValidation type="decimal" allowBlank="1" showErrorMessage="1" errorTitle="Ошибка" error="Допускается ввод только неотрицательных чисел!" sqref="H40:L41 H2:L2 H15:L15 H17:L32 H46:L48 H35:L37"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I215"/>
  <sheetViews>
    <sheetView showGridLines="0" topLeftCell="D5" zoomScale="90" workbookViewId="0">
      <selection activeCell="L9" sqref="L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2" width="40.7109375" style="11" customWidth="1"/>
    <col min="13" max="13" width="102" style="11" customWidth="1"/>
    <col min="14" max="14" width="9" style="63" customWidth="1"/>
    <col min="15" max="15" width="5" style="68" customWidth="1"/>
    <col min="16" max="16" width="3" style="68" customWidth="1"/>
    <col min="17" max="20" width="3" style="63" customWidth="1"/>
    <col min="21" max="21" width="10" style="68" customWidth="1"/>
    <col min="22" max="22" width="34" style="63" customWidth="1"/>
    <col min="23" max="23" width="9" style="63" customWidth="1"/>
    <col min="24" max="24" width="8" style="309" customWidth="1"/>
    <col min="25" max="29" width="8" style="63" customWidth="1"/>
    <col min="30" max="34" width="8" style="8" customWidth="1"/>
    <col min="35" max="35" width="9.140625" style="11" hidden="1"/>
  </cols>
  <sheetData>
    <row r="1" spans="1:35" s="63" customFormat="1" ht="22.5" hidden="1" customHeight="1">
      <c r="A1" s="572"/>
      <c r="C1" s="68"/>
      <c r="H1" s="63">
        <v>4</v>
      </c>
      <c r="I1" s="63">
        <v>4</v>
      </c>
      <c r="J1" s="63">
        <v>4</v>
      </c>
      <c r="K1" s="63">
        <v>4</v>
      </c>
      <c r="L1" s="63">
        <v>4</v>
      </c>
      <c r="O1" s="68"/>
      <c r="P1" s="68"/>
      <c r="U1" s="68"/>
      <c r="AI1" s="63" t="s">
        <v>14</v>
      </c>
    </row>
    <row r="2" spans="1:35" s="63" customFormat="1" ht="22.5" hidden="1" customHeight="1">
      <c r="A2" s="572"/>
      <c r="C2" s="68"/>
      <c r="D2" s="304"/>
      <c r="E2" s="41"/>
      <c r="F2" s="305"/>
      <c r="G2" s="41" t="s">
        <v>556</v>
      </c>
      <c r="H2" s="306"/>
      <c r="I2" s="306"/>
      <c r="J2" s="306"/>
      <c r="K2" s="306"/>
      <c r="L2" s="306"/>
      <c r="M2" s="307" t="s">
        <v>559</v>
      </c>
      <c r="N2" s="308"/>
      <c r="O2" s="68"/>
      <c r="P2" s="68"/>
      <c r="U2" s="68"/>
      <c r="X2" s="309"/>
      <c r="AD2" s="8"/>
      <c r="AE2" s="8"/>
      <c r="AF2" s="8"/>
      <c r="AG2" s="8"/>
      <c r="AH2" s="8"/>
      <c r="AI2" s="63">
        <v>0</v>
      </c>
    </row>
    <row r="3" spans="1:35" ht="11.25" hidden="1" customHeight="1">
      <c r="AI3" s="11">
        <v>0</v>
      </c>
    </row>
    <row r="4" spans="1:35" s="8" customFormat="1" ht="11.25" hidden="1" customHeight="1">
      <c r="A4" s="572"/>
      <c r="B4" s="63"/>
      <c r="C4" s="68"/>
      <c r="M4" s="8">
        <v>4</v>
      </c>
      <c r="N4" s="63"/>
      <c r="O4" s="68"/>
      <c r="P4" s="68"/>
      <c r="Q4" s="63"/>
      <c r="R4" s="63"/>
      <c r="S4" s="63"/>
      <c r="T4" s="63"/>
      <c r="U4" s="68"/>
      <c r="V4" s="63"/>
      <c r="W4" s="63"/>
      <c r="X4" s="309"/>
      <c r="Y4" s="63"/>
      <c r="Z4" s="63"/>
      <c r="AA4" s="63"/>
      <c r="AB4" s="63"/>
      <c r="AC4" s="63"/>
      <c r="AI4" s="8">
        <v>0</v>
      </c>
    </row>
    <row r="5" spans="1:35" ht="11.45" customHeight="1">
      <c r="AI5" s="11">
        <v>11</v>
      </c>
    </row>
    <row r="6" spans="1:35" ht="33.75" customHeight="1">
      <c r="E6" s="1274" t="s">
        <v>797</v>
      </c>
      <c r="F6" s="1274"/>
      <c r="G6" s="1274"/>
      <c r="H6" s="1274"/>
      <c r="I6" s="1274"/>
      <c r="J6" s="1105"/>
      <c r="K6" s="1105"/>
      <c r="L6" s="1105"/>
      <c r="M6" s="59"/>
      <c r="AI6" s="11">
        <v>32</v>
      </c>
    </row>
    <row r="7" spans="1:35" ht="25.15" customHeight="1">
      <c r="E7" s="1246" t="str">
        <f>IF(org=0,"Не определено",org)</f>
        <v>Сургутское городское муниципальное унитарное предприятие "Горводоканал"</v>
      </c>
      <c r="F7" s="1246"/>
      <c r="G7" s="1246"/>
      <c r="H7" s="1246"/>
      <c r="I7" s="1246"/>
      <c r="J7" s="1103"/>
      <c r="K7" s="1103"/>
      <c r="L7" s="1103"/>
      <c r="AI7" s="11">
        <v>24</v>
      </c>
    </row>
    <row r="8" spans="1:35" ht="11.45" customHeight="1">
      <c r="E8" s="668"/>
      <c r="F8" s="668"/>
      <c r="G8" s="668"/>
      <c r="H8" s="668"/>
      <c r="I8" s="668"/>
      <c r="J8" s="668" t="s">
        <v>22</v>
      </c>
      <c r="K8" s="668" t="s">
        <v>22</v>
      </c>
      <c r="L8" s="668" t="s">
        <v>22</v>
      </c>
      <c r="AI8" s="11">
        <v>11</v>
      </c>
    </row>
    <row r="9" spans="1:35" s="68" customFormat="1" ht="1.1499999999999999" customHeight="1">
      <c r="A9" s="313"/>
      <c r="H9" s="514"/>
      <c r="I9" s="514" t="s">
        <v>117</v>
      </c>
      <c r="J9" s="514" t="s">
        <v>123</v>
      </c>
      <c r="K9" s="514" t="s">
        <v>125</v>
      </c>
      <c r="L9" s="514" t="s">
        <v>127</v>
      </c>
      <c r="AI9" s="68">
        <v>1</v>
      </c>
    </row>
    <row r="10" spans="1:35" ht="11.45" customHeight="1">
      <c r="E10" s="409"/>
      <c r="F10" s="1383" t="s">
        <v>105</v>
      </c>
      <c r="G10" s="1384"/>
      <c r="H10" s="858" t="str">
        <f>IF(H9="","",INDEX(DIFFERENTIATION_UNMERGE_VD,MATCH(H9,DIFFERENTIATION_ID_DIFF,0)))</f>
        <v/>
      </c>
      <c r="I10" s="858" t="str">
        <f>IF(I9="","",INDEX(DIFFERENTIATION_UNMERGE_VD,MATCH(I9,DIFFERENTIATION_ID_DIFF,0)))</f>
        <v>Холодное водоснабжение. Питьевая вода</v>
      </c>
      <c r="J10" s="858" t="str">
        <f>IF(J9="","",INDEX(DIFFERENTIATION_UNMERGE_VD,MATCH(J9,DIFFERENTIATION_ID_DIFF,0)))</f>
        <v>Транспортировка. Питьевая вода</v>
      </c>
      <c r="K10" s="858" t="str">
        <f>IF(K9="","",INDEX(DIFFERENTIATION_UNMERGE_VD,MATCH(K9,DIFFERENTIATION_ID_DIFF,0)))</f>
        <v>Подключение (технологическое присоединение) к централизованной системе водоснабжения</v>
      </c>
      <c r="L10" s="858" t="str">
        <f>IF(L9="","",INDEX(DIFFERENTIATION_UNMERGE_VD,MATCH(L9,DIFFERENTIATION_ID_DIFF,0)))</f>
        <v>Холодное водоснабжение. Подвозная вода</v>
      </c>
      <c r="M10" s="1159" t="s">
        <v>307</v>
      </c>
      <c r="AI10" s="11">
        <v>11</v>
      </c>
    </row>
    <row r="11" spans="1:35" ht="11.45" customHeight="1">
      <c r="E11" s="409"/>
      <c r="F11" s="1383" t="s">
        <v>568</v>
      </c>
      <c r="G11" s="1384"/>
      <c r="H11" s="858" t="str">
        <f>IF(H9="","",INDEX(DIFFERENTIATION_UNMERGE_AREA,MATCH(H9,DIFFERENTIATION_ID_DIFF,0)))</f>
        <v/>
      </c>
      <c r="I11" s="858" t="str">
        <f>IF(I9="","",INDEX(DIFFERENTIATION_UNMERGE_AREA,MATCH(I9,DIFFERENTIATION_ID_DIFF,0)))</f>
        <v>без дифференциации</v>
      </c>
      <c r="J11" s="858" t="str">
        <f>IF(J9="","",INDEX(DIFFERENTIATION_UNMERGE_AREA,MATCH(J9,DIFFERENTIATION_ID_DIFF,0)))</f>
        <v>без дифференциации</v>
      </c>
      <c r="K11" s="858" t="str">
        <f>IF(K9="","",INDEX(DIFFERENTIATION_UNMERGE_AREA,MATCH(K9,DIFFERENTIATION_ID_DIFF,0)))</f>
        <v>без дифференциации</v>
      </c>
      <c r="L11" s="858" t="str">
        <f>IF(L9="","",INDEX(DIFFERENTIATION_UNMERGE_AREA,MATCH(L9,DIFFERENTIATION_ID_DIFF,0)))</f>
        <v>без дифференциации</v>
      </c>
      <c r="M11" s="1159"/>
      <c r="AI11" s="11">
        <v>11</v>
      </c>
    </row>
    <row r="12" spans="1:35" ht="11.25" hidden="1" customHeight="1">
      <c r="E12" s="896"/>
      <c r="F12" s="1404" t="s">
        <v>569</v>
      </c>
      <c r="G12" s="1405"/>
      <c r="H12" s="897" t="str">
        <f>IF(H9="","",INDEX(DIFFERENTIATION_UNMERGE_SYSTEM,MATCH(H9,DIFFERENTIATION_ID_DIFF,0)))</f>
        <v/>
      </c>
      <c r="I12" s="897" t="str">
        <f>IF(I9="","",INDEX(DIFFERENTIATION_UNMERGE_SYSTEM,MATCH(I9,DIFFERENTIATION_ID_DIFF,0)))</f>
        <v>без дифференциации</v>
      </c>
      <c r="J12" s="897" t="str">
        <f>IF(J9="","",INDEX(DIFFERENTIATION_UNMERGE_SYSTEM,MATCH(J9,DIFFERENTIATION_ID_DIFF,0)))</f>
        <v>без дифференциации</v>
      </c>
      <c r="K12" s="897" t="str">
        <f>IF(K9="","",INDEX(DIFFERENTIATION_UNMERGE_SYSTEM,MATCH(K9,DIFFERENTIATION_ID_DIFF,0)))</f>
        <v>без дифференциации</v>
      </c>
      <c r="L12" s="897" t="str">
        <f>IF(L9="","",INDEX(DIFFERENTIATION_UNMERGE_SYSTEM,MATCH(L9,DIFFERENTIATION_ID_DIFF,0)))</f>
        <v>без дифференциации</v>
      </c>
      <c r="M12" s="1159"/>
      <c r="AI12" s="11">
        <v>0</v>
      </c>
    </row>
    <row r="13" spans="1:35" ht="11.45" customHeight="1">
      <c r="E13" s="1385" t="s">
        <v>306</v>
      </c>
      <c r="F13" s="1386"/>
      <c r="G13" s="1386"/>
      <c r="H13" s="512"/>
      <c r="I13" s="512"/>
      <c r="J13" s="512"/>
      <c r="K13" s="512"/>
      <c r="L13" s="512"/>
      <c r="M13" s="1159"/>
      <c r="AI13" s="11">
        <v>11</v>
      </c>
    </row>
    <row r="14" spans="1:35" ht="24" customHeight="1">
      <c r="E14" s="41" t="s">
        <v>88</v>
      </c>
      <c r="F14" s="41" t="s">
        <v>308</v>
      </c>
      <c r="G14" s="41" t="s">
        <v>570</v>
      </c>
      <c r="H14" s="41" t="s">
        <v>309</v>
      </c>
      <c r="I14" s="41" t="s">
        <v>309</v>
      </c>
      <c r="J14" s="41" t="s">
        <v>309</v>
      </c>
      <c r="K14" s="41" t="s">
        <v>309</v>
      </c>
      <c r="L14" s="41" t="s">
        <v>309</v>
      </c>
      <c r="M14" s="1159"/>
      <c r="AI14" s="11">
        <v>23</v>
      </c>
    </row>
    <row r="15" spans="1:35" ht="19.899999999999999" customHeight="1">
      <c r="D15" s="55"/>
      <c r="E15" s="894" t="s">
        <v>109</v>
      </c>
      <c r="F15" s="153" t="s">
        <v>798</v>
      </c>
      <c r="G15" s="41" t="s">
        <v>556</v>
      </c>
      <c r="H15" s="321"/>
      <c r="I15" s="321"/>
      <c r="J15" s="321"/>
      <c r="K15" s="321"/>
      <c r="L15" s="321"/>
      <c r="M15" s="67" t="s">
        <v>799</v>
      </c>
      <c r="N15" s="308" t="s">
        <v>647</v>
      </c>
      <c r="AI15" s="11">
        <v>19</v>
      </c>
    </row>
    <row r="16" spans="1:35" ht="24" customHeight="1">
      <c r="D16" s="55"/>
      <c r="E16" s="894" t="s">
        <v>110</v>
      </c>
      <c r="F16" s="1095" t="s">
        <v>800</v>
      </c>
      <c r="G16" s="41" t="s">
        <v>556</v>
      </c>
      <c r="H16" s="322">
        <f>SUM(H17,H20:H27)</f>
        <v>0</v>
      </c>
      <c r="I16" s="322">
        <f>SUM(I17,I20:I27)</f>
        <v>0</v>
      </c>
      <c r="J16" s="322">
        <f>SUM(J17,J20:J27)</f>
        <v>0</v>
      </c>
      <c r="K16" s="322">
        <f>SUM(K17,K20:K27)</f>
        <v>0</v>
      </c>
      <c r="L16" s="322">
        <f>SUM(L17,L20:L27)</f>
        <v>0</v>
      </c>
      <c r="M16" s="397" t="s">
        <v>801</v>
      </c>
      <c r="N16" s="308" t="s">
        <v>647</v>
      </c>
      <c r="AI16" s="11">
        <v>23</v>
      </c>
    </row>
    <row r="17" spans="1:35" ht="35.65" customHeight="1">
      <c r="D17" s="55"/>
      <c r="E17" s="898" t="s">
        <v>725</v>
      </c>
      <c r="F17" s="394" t="s">
        <v>802</v>
      </c>
      <c r="G17" s="395" t="s">
        <v>556</v>
      </c>
      <c r="H17" s="321"/>
      <c r="I17" s="321"/>
      <c r="J17" s="321"/>
      <c r="K17" s="321"/>
      <c r="L17" s="321"/>
      <c r="M17" s="67" t="s">
        <v>803</v>
      </c>
      <c r="N17" s="308"/>
      <c r="AI17" s="11">
        <v>34</v>
      </c>
    </row>
    <row r="18" spans="1:35" ht="19.899999999999999" customHeight="1">
      <c r="D18" s="55"/>
      <c r="E18" s="898" t="s">
        <v>728</v>
      </c>
      <c r="F18" s="716" t="s">
        <v>804</v>
      </c>
      <c r="G18" s="395" t="s">
        <v>556</v>
      </c>
      <c r="H18" s="321"/>
      <c r="I18" s="321"/>
      <c r="J18" s="321"/>
      <c r="K18" s="321"/>
      <c r="L18" s="321"/>
      <c r="M18" s="67"/>
      <c r="N18" s="308"/>
      <c r="AI18" s="11">
        <v>19</v>
      </c>
    </row>
    <row r="19" spans="1:35" ht="24" customHeight="1">
      <c r="D19" s="55"/>
      <c r="E19" s="898" t="s">
        <v>731</v>
      </c>
      <c r="F19" s="716" t="s">
        <v>805</v>
      </c>
      <c r="G19" s="395" t="s">
        <v>556</v>
      </c>
      <c r="H19" s="321"/>
      <c r="I19" s="321"/>
      <c r="J19" s="321"/>
      <c r="K19" s="321"/>
      <c r="L19" s="321"/>
      <c r="M19" s="67"/>
      <c r="N19" s="308"/>
      <c r="AI19" s="11">
        <v>23</v>
      </c>
    </row>
    <row r="20" spans="1:35" ht="35.65" customHeight="1">
      <c r="D20" s="55"/>
      <c r="E20" s="898" t="s">
        <v>313</v>
      </c>
      <c r="F20" s="394" t="s">
        <v>806</v>
      </c>
      <c r="G20" s="395" t="s">
        <v>556</v>
      </c>
      <c r="H20" s="321"/>
      <c r="I20" s="321"/>
      <c r="J20" s="321"/>
      <c r="K20" s="321"/>
      <c r="L20" s="321"/>
      <c r="M20" s="67"/>
      <c r="N20" s="308"/>
      <c r="AI20" s="11">
        <v>34</v>
      </c>
    </row>
    <row r="21" spans="1:35" ht="48.2" customHeight="1">
      <c r="D21" s="55"/>
      <c r="E21" s="898" t="s">
        <v>316</v>
      </c>
      <c r="F21" s="394" t="s">
        <v>807</v>
      </c>
      <c r="G21" s="395" t="s">
        <v>556</v>
      </c>
      <c r="H21" s="321"/>
      <c r="I21" s="321"/>
      <c r="J21" s="321"/>
      <c r="K21" s="321"/>
      <c r="L21" s="321"/>
      <c r="M21" s="67"/>
      <c r="N21" s="308"/>
      <c r="AI21" s="11">
        <v>46</v>
      </c>
    </row>
    <row r="22" spans="1:35" ht="60" customHeight="1">
      <c r="D22" s="55"/>
      <c r="E22" s="898" t="s">
        <v>745</v>
      </c>
      <c r="F22" s="394" t="s">
        <v>808</v>
      </c>
      <c r="G22" s="395" t="s">
        <v>556</v>
      </c>
      <c r="H22" s="321"/>
      <c r="I22" s="321"/>
      <c r="J22" s="321"/>
      <c r="K22" s="321"/>
      <c r="L22" s="321"/>
      <c r="M22" s="67"/>
      <c r="N22" s="308"/>
      <c r="AI22" s="11">
        <v>57</v>
      </c>
    </row>
    <row r="23" spans="1:35" ht="35.65" customHeight="1">
      <c r="D23" s="55"/>
      <c r="E23" s="898" t="s">
        <v>752</v>
      </c>
      <c r="F23" s="394" t="s">
        <v>809</v>
      </c>
      <c r="G23" s="395" t="s">
        <v>556</v>
      </c>
      <c r="H23" s="321"/>
      <c r="I23" s="321"/>
      <c r="J23" s="321"/>
      <c r="K23" s="321"/>
      <c r="L23" s="321"/>
      <c r="M23" s="67"/>
      <c r="N23" s="308"/>
      <c r="AI23" s="11">
        <v>34</v>
      </c>
    </row>
    <row r="24" spans="1:35" ht="35.65" customHeight="1">
      <c r="D24" s="55"/>
      <c r="E24" s="898" t="s">
        <v>754</v>
      </c>
      <c r="F24" s="394" t="s">
        <v>810</v>
      </c>
      <c r="G24" s="395" t="s">
        <v>556</v>
      </c>
      <c r="H24" s="321"/>
      <c r="I24" s="321"/>
      <c r="J24" s="321"/>
      <c r="K24" s="321"/>
      <c r="L24" s="321"/>
      <c r="M24" s="67"/>
      <c r="N24" s="308"/>
      <c r="AI24" s="11">
        <v>34</v>
      </c>
    </row>
    <row r="25" spans="1:35" ht="24" customHeight="1">
      <c r="D25" s="55"/>
      <c r="E25" s="898" t="s">
        <v>756</v>
      </c>
      <c r="F25" s="394" t="s">
        <v>811</v>
      </c>
      <c r="G25" s="395" t="s">
        <v>556</v>
      </c>
      <c r="H25" s="321"/>
      <c r="I25" s="321"/>
      <c r="J25" s="321"/>
      <c r="K25" s="321"/>
      <c r="L25" s="321"/>
      <c r="M25" s="67"/>
      <c r="N25" s="308"/>
      <c r="AI25" s="11">
        <v>23</v>
      </c>
    </row>
    <row r="26" spans="1:35" ht="76.5" customHeight="1">
      <c r="D26" s="55"/>
      <c r="E26" s="898" t="s">
        <v>758</v>
      </c>
      <c r="F26" s="394" t="s">
        <v>812</v>
      </c>
      <c r="G26" s="395" t="s">
        <v>556</v>
      </c>
      <c r="H26" s="321"/>
      <c r="I26" s="321"/>
      <c r="J26" s="321"/>
      <c r="K26" s="321"/>
      <c r="L26" s="321"/>
      <c r="M26" s="67"/>
      <c r="N26" s="308"/>
      <c r="AI26" s="11">
        <v>73</v>
      </c>
    </row>
    <row r="27" spans="1:35" s="63" customFormat="1" ht="35.65" customHeight="1">
      <c r="A27" s="572"/>
      <c r="C27" s="68"/>
      <c r="D27" s="55"/>
      <c r="E27" s="893" t="s">
        <v>762</v>
      </c>
      <c r="F27" s="892" t="s">
        <v>813</v>
      </c>
      <c r="G27" s="340" t="s">
        <v>556</v>
      </c>
      <c r="H27" s="341">
        <f>SUM(H28:H29)</f>
        <v>0</v>
      </c>
      <c r="I27" s="341">
        <f>SUM(I28:I29)</f>
        <v>0</v>
      </c>
      <c r="J27" s="341">
        <f>SUM(J28:J29)</f>
        <v>0</v>
      </c>
      <c r="K27" s="341">
        <f>SUM(K28:K29)</f>
        <v>0</v>
      </c>
      <c r="L27" s="341">
        <f>SUM(L28:L29)</f>
        <v>0</v>
      </c>
      <c r="M27" s="67" t="s">
        <v>760</v>
      </c>
      <c r="N27" s="308"/>
      <c r="O27" s="68"/>
      <c r="P27" s="68"/>
      <c r="U27" s="68"/>
      <c r="X27" s="309"/>
      <c r="AD27" s="8"/>
      <c r="AE27" s="8"/>
      <c r="AF27" s="8"/>
      <c r="AG27" s="8"/>
      <c r="AH27" s="8"/>
      <c r="AI27" s="63">
        <v>34</v>
      </c>
    </row>
    <row r="28" spans="1:35" s="68" customFormat="1" ht="1.1499999999999999" customHeight="1">
      <c r="A28" s="313"/>
      <c r="D28" s="313"/>
      <c r="E28" s="316" t="str">
        <f>E27&amp;".0"</f>
        <v>2.9.0</v>
      </c>
      <c r="F28" s="576"/>
      <c r="G28" s="316"/>
      <c r="H28" s="577"/>
      <c r="I28" s="577"/>
      <c r="J28" s="577"/>
      <c r="K28" s="577"/>
      <c r="L28" s="577"/>
      <c r="M28" s="578"/>
      <c r="AI28" s="68">
        <v>1</v>
      </c>
    </row>
    <row r="29" spans="1:35" s="63" customFormat="1" ht="19.899999999999999" customHeight="1">
      <c r="A29" s="572"/>
      <c r="C29" s="68"/>
      <c r="D29" s="77"/>
      <c r="E29" s="333"/>
      <c r="F29" s="899" t="s">
        <v>584</v>
      </c>
      <c r="G29" s="334"/>
      <c r="H29" s="335"/>
      <c r="I29" s="335"/>
      <c r="J29" s="335"/>
      <c r="K29" s="335"/>
      <c r="L29" s="335"/>
      <c r="M29" s="172" t="s">
        <v>761</v>
      </c>
      <c r="N29" s="308"/>
      <c r="O29" s="68"/>
      <c r="P29" s="68"/>
      <c r="U29" s="68"/>
      <c r="X29" s="309"/>
      <c r="AD29" s="8"/>
      <c r="AE29" s="8"/>
      <c r="AF29" s="8"/>
      <c r="AG29" s="8"/>
      <c r="AH29" s="8"/>
      <c r="AI29" s="63">
        <v>19</v>
      </c>
    </row>
    <row r="30" spans="1:35" ht="76.5" customHeight="1">
      <c r="D30" s="55"/>
      <c r="E30" s="898" t="s">
        <v>814</v>
      </c>
      <c r="F30" s="394" t="s">
        <v>769</v>
      </c>
      <c r="G30" s="395" t="s">
        <v>556</v>
      </c>
      <c r="H30" s="321"/>
      <c r="I30" s="321"/>
      <c r="J30" s="321"/>
      <c r="K30" s="321"/>
      <c r="L30" s="321"/>
      <c r="M30" s="397" t="s">
        <v>815</v>
      </c>
      <c r="N30" s="308"/>
      <c r="AI30" s="11">
        <v>73</v>
      </c>
    </row>
    <row r="31" spans="1:35" s="63" customFormat="1" ht="24" customHeight="1">
      <c r="A31" s="572"/>
      <c r="C31" s="68"/>
      <c r="D31" s="55"/>
      <c r="E31" s="898" t="s">
        <v>90</v>
      </c>
      <c r="F31" s="397" t="s">
        <v>816</v>
      </c>
      <c r="G31" s="395" t="s">
        <v>556</v>
      </c>
      <c r="H31" s="321"/>
      <c r="I31" s="321"/>
      <c r="J31" s="321"/>
      <c r="K31" s="321"/>
      <c r="L31" s="321"/>
      <c r="M31" s="67"/>
      <c r="N31" s="308"/>
      <c r="O31" s="68"/>
      <c r="P31" s="68"/>
      <c r="U31" s="68"/>
      <c r="X31" s="309"/>
      <c r="AD31" s="8"/>
      <c r="AE31" s="8"/>
      <c r="AF31" s="8"/>
      <c r="AG31" s="8"/>
      <c r="AH31" s="8"/>
      <c r="AI31" s="63">
        <v>23</v>
      </c>
    </row>
    <row r="32" spans="1:35" s="63" customFormat="1" ht="35.65" customHeight="1">
      <c r="A32" s="572"/>
      <c r="C32" s="68"/>
      <c r="D32" s="337"/>
      <c r="E32" s="898" t="s">
        <v>91</v>
      </c>
      <c r="F32" s="397" t="s">
        <v>817</v>
      </c>
      <c r="G32" s="395" t="s">
        <v>556</v>
      </c>
      <c r="H32" s="321"/>
      <c r="I32" s="321"/>
      <c r="J32" s="321"/>
      <c r="K32" s="321"/>
      <c r="L32" s="321"/>
      <c r="M32" s="67" t="s">
        <v>818</v>
      </c>
      <c r="N32" s="308"/>
      <c r="O32" s="68"/>
      <c r="P32" s="68"/>
      <c r="U32" s="68"/>
      <c r="X32" s="309"/>
      <c r="AD32" s="8"/>
      <c r="AE32" s="8"/>
      <c r="AF32" s="8"/>
      <c r="AG32" s="8"/>
      <c r="AH32" s="8"/>
      <c r="AI32" s="63">
        <v>34</v>
      </c>
    </row>
    <row r="33" spans="1:35" s="63" customFormat="1" ht="24" customHeight="1">
      <c r="A33" s="572"/>
      <c r="C33" s="68"/>
      <c r="D33" s="55"/>
      <c r="E33" s="898" t="s">
        <v>776</v>
      </c>
      <c r="F33" s="394" t="s">
        <v>780</v>
      </c>
      <c r="G33" s="395" t="s">
        <v>556</v>
      </c>
      <c r="H33" s="321"/>
      <c r="I33" s="321"/>
      <c r="J33" s="321"/>
      <c r="K33" s="321"/>
      <c r="L33" s="321"/>
      <c r="M33" s="67" t="s">
        <v>819</v>
      </c>
      <c r="N33" s="308"/>
      <c r="O33" s="68"/>
      <c r="P33" s="68"/>
      <c r="U33" s="68"/>
      <c r="X33" s="309"/>
      <c r="AD33" s="8"/>
      <c r="AE33" s="8"/>
      <c r="AF33" s="8"/>
      <c r="AG33" s="8"/>
      <c r="AH33" s="8"/>
      <c r="AI33" s="63">
        <v>23</v>
      </c>
    </row>
    <row r="34" spans="1:35" s="63" customFormat="1" ht="24" customHeight="1">
      <c r="A34" s="572"/>
      <c r="C34" s="68"/>
      <c r="D34" s="55"/>
      <c r="E34" s="898" t="s">
        <v>820</v>
      </c>
      <c r="F34" s="394" t="s">
        <v>821</v>
      </c>
      <c r="G34" s="395" t="s">
        <v>556</v>
      </c>
      <c r="H34" s="321"/>
      <c r="I34" s="321"/>
      <c r="J34" s="321"/>
      <c r="K34" s="321"/>
      <c r="L34" s="321"/>
      <c r="M34" s="67" t="s">
        <v>822</v>
      </c>
      <c r="N34" s="308"/>
      <c r="O34" s="68"/>
      <c r="P34" s="68"/>
      <c r="U34" s="68"/>
      <c r="X34" s="309"/>
      <c r="AD34" s="8"/>
      <c r="AE34" s="8"/>
      <c r="AF34" s="8"/>
      <c r="AG34" s="8"/>
      <c r="AH34" s="8"/>
      <c r="AI34" s="63">
        <v>23</v>
      </c>
    </row>
    <row r="35" spans="1:35" s="63" customFormat="1" ht="24" customHeight="1">
      <c r="A35" s="572"/>
      <c r="C35" s="68"/>
      <c r="D35" s="55"/>
      <c r="E35" s="898" t="s">
        <v>823</v>
      </c>
      <c r="F35" s="394" t="s">
        <v>786</v>
      </c>
      <c r="G35" s="395" t="s">
        <v>556</v>
      </c>
      <c r="H35" s="321"/>
      <c r="I35" s="321"/>
      <c r="J35" s="321"/>
      <c r="K35" s="321"/>
      <c r="L35" s="321"/>
      <c r="M35" s="67" t="s">
        <v>824</v>
      </c>
      <c r="N35" s="308"/>
      <c r="O35" s="68"/>
      <c r="P35" s="68"/>
      <c r="U35" s="68"/>
      <c r="X35" s="309"/>
      <c r="AD35" s="8"/>
      <c r="AE35" s="8"/>
      <c r="AF35" s="8"/>
      <c r="AG35" s="8"/>
      <c r="AH35" s="8"/>
      <c r="AI35" s="63">
        <v>23</v>
      </c>
    </row>
    <row r="36" spans="1:35" s="63" customFormat="1" ht="35.65" customHeight="1">
      <c r="A36" s="572"/>
      <c r="C36" s="68" t="s">
        <v>587</v>
      </c>
      <c r="D36" s="55"/>
      <c r="E36" s="898" t="s">
        <v>111</v>
      </c>
      <c r="F36" s="397" t="s">
        <v>646</v>
      </c>
      <c r="G36" s="41" t="s">
        <v>312</v>
      </c>
      <c r="H36" s="228"/>
      <c r="I36" s="228"/>
      <c r="J36" s="228"/>
      <c r="K36" s="228"/>
      <c r="L36" s="228"/>
      <c r="M36" s="67" t="s">
        <v>825</v>
      </c>
      <c r="N36" s="308"/>
      <c r="O36" s="68"/>
      <c r="P36" s="68"/>
      <c r="U36" s="68"/>
      <c r="X36" s="309"/>
      <c r="AD36" s="8"/>
      <c r="AE36" s="8"/>
      <c r="AF36" s="8"/>
      <c r="AG36" s="8"/>
      <c r="AH36" s="8"/>
      <c r="AI36" s="63">
        <v>34</v>
      </c>
    </row>
    <row r="37" spans="1:35" s="63" customFormat="1" ht="35.65" customHeight="1">
      <c r="A37" s="572"/>
      <c r="C37" s="68"/>
      <c r="D37" s="55"/>
      <c r="E37" s="898" t="s">
        <v>92</v>
      </c>
      <c r="F37" s="397" t="s">
        <v>826</v>
      </c>
      <c r="G37" s="395" t="s">
        <v>791</v>
      </c>
      <c r="H37" s="1094"/>
      <c r="I37" s="1094"/>
      <c r="J37" s="1094"/>
      <c r="K37" s="1094"/>
      <c r="L37" s="1094"/>
      <c r="M37" s="67" t="s">
        <v>792</v>
      </c>
      <c r="N37" s="308"/>
      <c r="O37" s="68"/>
      <c r="P37" s="68"/>
      <c r="U37" s="68"/>
      <c r="X37" s="309"/>
      <c r="AD37" s="8"/>
      <c r="AE37" s="8"/>
      <c r="AF37" s="8"/>
      <c r="AG37" s="8"/>
      <c r="AH37" s="8"/>
      <c r="AI37" s="63">
        <v>34</v>
      </c>
    </row>
    <row r="38" spans="1:35" s="63" customFormat="1" ht="33.75" customHeight="1">
      <c r="A38" s="572"/>
      <c r="C38" s="68"/>
      <c r="D38" s="55"/>
      <c r="E38" s="898" t="s">
        <v>669</v>
      </c>
      <c r="F38" s="394" t="s">
        <v>827</v>
      </c>
      <c r="G38" s="395" t="s">
        <v>791</v>
      </c>
      <c r="H38" s="310"/>
      <c r="I38" s="310"/>
      <c r="J38" s="310"/>
      <c r="K38" s="310"/>
      <c r="L38" s="310"/>
      <c r="M38" s="397" t="s">
        <v>828</v>
      </c>
      <c r="N38" s="308"/>
      <c r="O38" s="68"/>
      <c r="P38" s="68"/>
      <c r="U38" s="68"/>
      <c r="X38" s="309"/>
      <c r="AD38" s="8"/>
      <c r="AE38" s="8"/>
      <c r="AF38" s="8"/>
      <c r="AG38" s="8"/>
      <c r="AH38" s="8"/>
    </row>
    <row r="39" spans="1:35" s="63" customFormat="1" ht="33.75" customHeight="1">
      <c r="A39" s="572"/>
      <c r="C39" s="68"/>
      <c r="D39" s="55"/>
      <c r="E39" s="898" t="s">
        <v>673</v>
      </c>
      <c r="F39" s="394" t="s">
        <v>829</v>
      </c>
      <c r="G39" s="395" t="s">
        <v>791</v>
      </c>
      <c r="H39" s="310"/>
      <c r="I39" s="310"/>
      <c r="J39" s="310"/>
      <c r="K39" s="310"/>
      <c r="L39" s="310"/>
      <c r="M39" s="397" t="s">
        <v>830</v>
      </c>
      <c r="N39" s="308"/>
      <c r="O39" s="68"/>
      <c r="P39" s="68"/>
      <c r="U39" s="68"/>
      <c r="X39" s="309"/>
      <c r="AD39" s="8"/>
      <c r="AE39" s="8"/>
      <c r="AF39" s="8"/>
      <c r="AG39" s="8"/>
      <c r="AH39" s="8"/>
    </row>
    <row r="40" spans="1:35" s="63" customFormat="1" ht="24" customHeight="1">
      <c r="A40" s="572"/>
      <c r="C40" s="68"/>
      <c r="D40" s="55"/>
      <c r="E40" s="898" t="s">
        <v>93</v>
      </c>
      <c r="F40" s="397" t="s">
        <v>831</v>
      </c>
      <c r="G40" s="395" t="s">
        <v>794</v>
      </c>
      <c r="H40" s="1094"/>
      <c r="I40" s="1094"/>
      <c r="J40" s="1094"/>
      <c r="K40" s="1094"/>
      <c r="L40" s="1094"/>
      <c r="M40" s="67" t="s">
        <v>795</v>
      </c>
      <c r="N40" s="308"/>
      <c r="O40" s="68"/>
      <c r="P40" s="68"/>
      <c r="U40" s="68"/>
      <c r="X40" s="309"/>
      <c r="AD40" s="8"/>
      <c r="AE40" s="8"/>
      <c r="AF40" s="8"/>
      <c r="AG40" s="8"/>
      <c r="AH40" s="8"/>
      <c r="AI40" s="63">
        <v>23</v>
      </c>
    </row>
    <row r="41" spans="1:35" s="63" customFormat="1" ht="24" customHeight="1">
      <c r="A41" s="572"/>
      <c r="C41" s="68"/>
      <c r="D41" s="55"/>
      <c r="E41" s="898" t="s">
        <v>832</v>
      </c>
      <c r="F41" s="394" t="s">
        <v>833</v>
      </c>
      <c r="G41" s="395" t="s">
        <v>794</v>
      </c>
      <c r="H41" s="310"/>
      <c r="I41" s="310"/>
      <c r="J41" s="310"/>
      <c r="K41" s="310"/>
      <c r="L41" s="310"/>
      <c r="M41" s="397" t="s">
        <v>834</v>
      </c>
      <c r="N41" s="308"/>
      <c r="O41" s="68"/>
      <c r="P41" s="68"/>
      <c r="U41" s="68"/>
      <c r="X41" s="309"/>
      <c r="AD41" s="8"/>
      <c r="AE41" s="8"/>
      <c r="AF41" s="8"/>
      <c r="AG41" s="8"/>
      <c r="AH41" s="8"/>
      <c r="AI41" s="63">
        <v>23</v>
      </c>
    </row>
    <row r="42" spans="1:35" s="63" customFormat="1" ht="24" customHeight="1">
      <c r="A42" s="572"/>
      <c r="C42" s="68"/>
      <c r="D42" s="55"/>
      <c r="E42" s="898" t="s">
        <v>835</v>
      </c>
      <c r="F42" s="394" t="s">
        <v>836</v>
      </c>
      <c r="G42" s="395" t="s">
        <v>794</v>
      </c>
      <c r="H42" s="310"/>
      <c r="I42" s="310"/>
      <c r="J42" s="310"/>
      <c r="K42" s="310"/>
      <c r="L42" s="310"/>
      <c r="M42" s="397" t="s">
        <v>837</v>
      </c>
      <c r="N42" s="308"/>
      <c r="O42" s="68"/>
      <c r="P42" s="68"/>
      <c r="U42" s="68"/>
      <c r="X42" s="309"/>
      <c r="AD42" s="8"/>
      <c r="AE42" s="8"/>
      <c r="AF42" s="8"/>
      <c r="AG42" s="8"/>
      <c r="AH42" s="8"/>
      <c r="AI42" s="63">
        <v>23</v>
      </c>
    </row>
    <row r="43" spans="1:35" ht="11.45" customHeight="1">
      <c r="D43" s="55"/>
      <c r="AI43" s="11">
        <v>11</v>
      </c>
    </row>
    <row r="44" spans="1:35" ht="27.4" customHeight="1">
      <c r="D44" s="55"/>
      <c r="E44" s="198" t="s">
        <v>838</v>
      </c>
      <c r="F44" s="1292" t="s">
        <v>839</v>
      </c>
      <c r="G44" s="1292"/>
      <c r="H44" s="4"/>
      <c r="I44" s="4"/>
      <c r="J44" s="4"/>
      <c r="K44" s="4"/>
      <c r="L44" s="4"/>
      <c r="M44" s="4"/>
      <c r="AI44" s="11">
        <v>26</v>
      </c>
    </row>
    <row r="45" spans="1:35" s="203" customFormat="1" ht="39.75" customHeight="1">
      <c r="A45" s="572"/>
      <c r="B45" s="68"/>
      <c r="C45" s="68"/>
      <c r="F45" s="1292" t="s">
        <v>840</v>
      </c>
      <c r="G45" s="1292"/>
      <c r="H45" s="4"/>
      <c r="I45" s="4"/>
      <c r="J45" s="4"/>
      <c r="K45" s="4"/>
      <c r="L45" s="4"/>
      <c r="M45" s="4"/>
      <c r="N45" s="63"/>
      <c r="O45" s="68"/>
      <c r="P45" s="68"/>
      <c r="Q45" s="63"/>
      <c r="R45" s="63"/>
      <c r="S45" s="63"/>
      <c r="T45" s="63"/>
      <c r="U45" s="68"/>
      <c r="V45" s="63"/>
      <c r="W45" s="63"/>
      <c r="X45" s="309"/>
      <c r="Y45" s="63"/>
      <c r="Z45" s="63"/>
      <c r="AA45" s="63"/>
      <c r="AB45" s="63"/>
      <c r="AC45" s="63"/>
      <c r="AD45" s="8"/>
      <c r="AE45" s="142"/>
      <c r="AF45" s="142"/>
      <c r="AG45" s="142"/>
      <c r="AH45" s="142"/>
      <c r="AI45" s="203">
        <v>38</v>
      </c>
    </row>
    <row r="46" spans="1:35" s="203" customFormat="1" ht="11.45" customHeight="1">
      <c r="A46" s="572"/>
      <c r="B46" s="68"/>
      <c r="C46" s="68"/>
      <c r="N46" s="63"/>
      <c r="O46" s="68"/>
      <c r="P46" s="68"/>
      <c r="Q46" s="63"/>
      <c r="R46" s="63"/>
      <c r="S46" s="63"/>
      <c r="T46" s="63"/>
      <c r="U46" s="68"/>
      <c r="V46" s="63"/>
      <c r="W46" s="63"/>
      <c r="X46" s="309"/>
      <c r="Y46" s="63"/>
      <c r="Z46" s="63"/>
      <c r="AA46" s="63"/>
      <c r="AB46" s="63"/>
      <c r="AC46" s="63"/>
      <c r="AD46" s="8"/>
      <c r="AE46" s="142"/>
      <c r="AF46" s="142"/>
      <c r="AG46" s="142"/>
      <c r="AH46" s="142"/>
      <c r="AI46" s="203">
        <v>11</v>
      </c>
    </row>
    <row r="47" spans="1:35" s="203" customFormat="1" ht="11.45" customHeight="1">
      <c r="A47" s="572"/>
      <c r="B47" s="68"/>
      <c r="C47" s="68"/>
      <c r="N47" s="63"/>
      <c r="O47" s="68"/>
      <c r="P47" s="68"/>
      <c r="Q47" s="63"/>
      <c r="R47" s="63"/>
      <c r="S47" s="63"/>
      <c r="T47" s="63"/>
      <c r="U47" s="68"/>
      <c r="V47" s="63"/>
      <c r="W47" s="63"/>
      <c r="X47" s="309"/>
      <c r="Y47" s="63"/>
      <c r="Z47" s="63"/>
      <c r="AA47" s="63"/>
      <c r="AB47" s="63"/>
      <c r="AC47" s="63"/>
      <c r="AD47" s="8"/>
      <c r="AE47" s="142"/>
      <c r="AF47" s="142"/>
      <c r="AG47" s="142"/>
      <c r="AH47" s="142"/>
      <c r="AI47" s="203">
        <v>11</v>
      </c>
    </row>
    <row r="48" spans="1:35" s="203" customFormat="1" ht="11.45" customHeight="1">
      <c r="A48" s="572"/>
      <c r="B48" s="68"/>
      <c r="C48" s="68"/>
      <c r="H48" s="142"/>
      <c r="I48" s="142"/>
      <c r="J48" s="142"/>
      <c r="K48" s="142"/>
      <c r="L48" s="142"/>
      <c r="N48" s="63"/>
      <c r="O48" s="68"/>
      <c r="P48" s="68"/>
      <c r="Q48" s="63"/>
      <c r="R48" s="63"/>
      <c r="S48" s="63"/>
      <c r="T48" s="63"/>
      <c r="U48" s="68"/>
      <c r="V48" s="63"/>
      <c r="W48" s="63"/>
      <c r="X48" s="309"/>
      <c r="Y48" s="63"/>
      <c r="Z48" s="63"/>
      <c r="AA48" s="63"/>
      <c r="AB48" s="63"/>
      <c r="AC48" s="63"/>
      <c r="AD48" s="8"/>
      <c r="AE48" s="142"/>
      <c r="AF48" s="142"/>
      <c r="AG48" s="142"/>
      <c r="AH48" s="142"/>
      <c r="AI48" s="203">
        <v>11</v>
      </c>
    </row>
    <row r="49" spans="1:35" s="203" customFormat="1" ht="11.45" customHeight="1">
      <c r="A49" s="572"/>
      <c r="B49" s="68"/>
      <c r="C49" s="68"/>
      <c r="N49" s="63"/>
      <c r="O49" s="68"/>
      <c r="P49" s="68"/>
      <c r="Q49" s="63"/>
      <c r="R49" s="63"/>
      <c r="S49" s="63"/>
      <c r="T49" s="63"/>
      <c r="U49" s="68"/>
      <c r="V49" s="63"/>
      <c r="W49" s="63"/>
      <c r="X49" s="309"/>
      <c r="Y49" s="63"/>
      <c r="Z49" s="63"/>
      <c r="AA49" s="63"/>
      <c r="AB49" s="63"/>
      <c r="AC49" s="63"/>
      <c r="AD49" s="8"/>
      <c r="AE49" s="142"/>
      <c r="AF49" s="142"/>
      <c r="AG49" s="142"/>
      <c r="AH49" s="142"/>
      <c r="AI49" s="203">
        <v>11</v>
      </c>
    </row>
    <row r="50" spans="1:35" s="203" customFormat="1" ht="11.45" customHeight="1">
      <c r="A50" s="572"/>
      <c r="B50" s="68"/>
      <c r="C50" s="68"/>
      <c r="N50" s="63"/>
      <c r="O50" s="68"/>
      <c r="P50" s="68"/>
      <c r="Q50" s="63"/>
      <c r="R50" s="63"/>
      <c r="S50" s="63"/>
      <c r="T50" s="63"/>
      <c r="U50" s="68"/>
      <c r="V50" s="63"/>
      <c r="W50" s="63"/>
      <c r="X50" s="309"/>
      <c r="Y50" s="63"/>
      <c r="Z50" s="63"/>
      <c r="AA50" s="63"/>
      <c r="AB50" s="63"/>
      <c r="AC50" s="63"/>
      <c r="AD50" s="8"/>
      <c r="AE50" s="142"/>
      <c r="AF50" s="142"/>
      <c r="AG50" s="142"/>
      <c r="AH50" s="142"/>
      <c r="AI50" s="203">
        <v>11</v>
      </c>
    </row>
    <row r="51" spans="1:35" s="203" customFormat="1" ht="11.45" customHeight="1">
      <c r="A51" s="572"/>
      <c r="B51" s="68"/>
      <c r="C51" s="68"/>
      <c r="N51" s="63"/>
      <c r="O51" s="68"/>
      <c r="P51" s="68"/>
      <c r="Q51" s="63"/>
      <c r="R51" s="63"/>
      <c r="S51" s="63"/>
      <c r="T51" s="63"/>
      <c r="U51" s="68"/>
      <c r="V51" s="63"/>
      <c r="W51" s="63"/>
      <c r="X51" s="309"/>
      <c r="Y51" s="63"/>
      <c r="Z51" s="63"/>
      <c r="AA51" s="63"/>
      <c r="AB51" s="63"/>
      <c r="AC51" s="63"/>
      <c r="AD51" s="8"/>
      <c r="AE51" s="142"/>
      <c r="AF51" s="142"/>
      <c r="AG51" s="142"/>
      <c r="AH51" s="142"/>
      <c r="AI51" s="203">
        <v>11</v>
      </c>
    </row>
    <row r="52" spans="1:35" s="203" customFormat="1" ht="11.45" customHeight="1">
      <c r="A52" s="572"/>
      <c r="B52" s="68"/>
      <c r="C52" s="68"/>
      <c r="N52" s="63"/>
      <c r="O52" s="68"/>
      <c r="P52" s="68"/>
      <c r="Q52" s="63"/>
      <c r="R52" s="63"/>
      <c r="S52" s="63"/>
      <c r="T52" s="63"/>
      <c r="U52" s="68"/>
      <c r="V52" s="63"/>
      <c r="W52" s="63"/>
      <c r="X52" s="309"/>
      <c r="Y52" s="63"/>
      <c r="Z52" s="63"/>
      <c r="AA52" s="63"/>
      <c r="AB52" s="63"/>
      <c r="AC52" s="63"/>
      <c r="AD52" s="8"/>
      <c r="AE52" s="142"/>
      <c r="AF52" s="142"/>
      <c r="AG52" s="142"/>
      <c r="AH52" s="142"/>
      <c r="AI52" s="203">
        <v>11</v>
      </c>
    </row>
    <row r="53" spans="1:35" s="203" customFormat="1" ht="11.45" customHeight="1">
      <c r="A53" s="572"/>
      <c r="B53" s="68"/>
      <c r="C53" s="68"/>
      <c r="N53" s="63"/>
      <c r="O53" s="68"/>
      <c r="P53" s="68"/>
      <c r="Q53" s="63"/>
      <c r="R53" s="63"/>
      <c r="S53" s="63"/>
      <c r="T53" s="63"/>
      <c r="U53" s="68"/>
      <c r="V53" s="63"/>
      <c r="W53" s="63"/>
      <c r="X53" s="309"/>
      <c r="Y53" s="63"/>
      <c r="Z53" s="63"/>
      <c r="AA53" s="63"/>
      <c r="AB53" s="63"/>
      <c r="AC53" s="63"/>
      <c r="AD53" s="8"/>
      <c r="AE53" s="142"/>
      <c r="AF53" s="142"/>
      <c r="AG53" s="142"/>
      <c r="AH53" s="142"/>
      <c r="AI53" s="203">
        <v>11</v>
      </c>
    </row>
    <row r="54" spans="1:35" s="203" customFormat="1" ht="11.45" customHeight="1">
      <c r="A54" s="572"/>
      <c r="B54" s="68"/>
      <c r="C54" s="68"/>
      <c r="N54" s="63"/>
      <c r="O54" s="68"/>
      <c r="P54" s="68"/>
      <c r="Q54" s="63"/>
      <c r="R54" s="63"/>
      <c r="S54" s="63"/>
      <c r="T54" s="63"/>
      <c r="U54" s="68"/>
      <c r="V54" s="63"/>
      <c r="W54" s="63"/>
      <c r="X54" s="309"/>
      <c r="Y54" s="63"/>
      <c r="Z54" s="63"/>
      <c r="AA54" s="63"/>
      <c r="AB54" s="63"/>
      <c r="AC54" s="63"/>
      <c r="AD54" s="8"/>
      <c r="AE54" s="142"/>
      <c r="AF54" s="142"/>
      <c r="AG54" s="142"/>
      <c r="AH54" s="142"/>
      <c r="AI54" s="203">
        <v>11</v>
      </c>
    </row>
    <row r="55" spans="1:35" s="203" customFormat="1" ht="11.45" customHeight="1">
      <c r="A55" s="572"/>
      <c r="B55" s="68"/>
      <c r="C55" s="68"/>
      <c r="N55" s="63"/>
      <c r="O55" s="68"/>
      <c r="P55" s="68"/>
      <c r="Q55" s="63"/>
      <c r="R55" s="63"/>
      <c r="S55" s="63"/>
      <c r="T55" s="63"/>
      <c r="U55" s="68"/>
      <c r="V55" s="63"/>
      <c r="W55" s="63"/>
      <c r="X55" s="309"/>
      <c r="Y55" s="63"/>
      <c r="Z55" s="63"/>
      <c r="AA55" s="63"/>
      <c r="AB55" s="63"/>
      <c r="AC55" s="63"/>
      <c r="AD55" s="8"/>
      <c r="AE55" s="142"/>
      <c r="AF55" s="142"/>
      <c r="AG55" s="142"/>
      <c r="AH55" s="142"/>
      <c r="AI55" s="203">
        <v>11</v>
      </c>
    </row>
    <row r="56" spans="1:35" s="203" customFormat="1" ht="11.45" customHeight="1">
      <c r="A56" s="572"/>
      <c r="B56" s="68"/>
      <c r="C56" s="68"/>
      <c r="N56" s="63"/>
      <c r="O56" s="68"/>
      <c r="P56" s="68"/>
      <c r="Q56" s="63"/>
      <c r="R56" s="63"/>
      <c r="S56" s="63"/>
      <c r="T56" s="63"/>
      <c r="U56" s="68"/>
      <c r="V56" s="63"/>
      <c r="W56" s="63"/>
      <c r="X56" s="309"/>
      <c r="Y56" s="63"/>
      <c r="Z56" s="63"/>
      <c r="AA56" s="63"/>
      <c r="AB56" s="63"/>
      <c r="AC56" s="63"/>
      <c r="AD56" s="8"/>
      <c r="AE56" s="142"/>
      <c r="AF56" s="142"/>
      <c r="AG56" s="142"/>
      <c r="AH56" s="142"/>
      <c r="AI56" s="203">
        <v>11</v>
      </c>
    </row>
    <row r="57" spans="1:35" s="203" customFormat="1" ht="11.45" customHeight="1">
      <c r="A57" s="572"/>
      <c r="B57" s="68"/>
      <c r="C57" s="68"/>
      <c r="N57" s="63"/>
      <c r="O57" s="68"/>
      <c r="P57" s="68"/>
      <c r="Q57" s="63"/>
      <c r="R57" s="63"/>
      <c r="S57" s="63"/>
      <c r="T57" s="63"/>
      <c r="U57" s="68"/>
      <c r="V57" s="63"/>
      <c r="W57" s="63"/>
      <c r="X57" s="309"/>
      <c r="Y57" s="63"/>
      <c r="Z57" s="63"/>
      <c r="AA57" s="63"/>
      <c r="AB57" s="63"/>
      <c r="AC57" s="63"/>
      <c r="AD57" s="8"/>
      <c r="AE57" s="142"/>
      <c r="AF57" s="142"/>
      <c r="AG57" s="142"/>
      <c r="AH57" s="142"/>
      <c r="AI57" s="203">
        <v>11</v>
      </c>
    </row>
    <row r="58" spans="1:35" s="203" customFormat="1" ht="11.45" customHeight="1">
      <c r="A58" s="572"/>
      <c r="B58" s="68"/>
      <c r="C58" s="68"/>
      <c r="N58" s="63"/>
      <c r="O58" s="68"/>
      <c r="P58" s="68"/>
      <c r="Q58" s="63"/>
      <c r="R58" s="63"/>
      <c r="S58" s="63"/>
      <c r="T58" s="63"/>
      <c r="U58" s="68"/>
      <c r="V58" s="63"/>
      <c r="W58" s="63"/>
      <c r="X58" s="309"/>
      <c r="Y58" s="63"/>
      <c r="Z58" s="63"/>
      <c r="AA58" s="63"/>
      <c r="AB58" s="63"/>
      <c r="AC58" s="63"/>
      <c r="AD58" s="8"/>
      <c r="AE58" s="142"/>
      <c r="AF58" s="142"/>
      <c r="AG58" s="142"/>
      <c r="AH58" s="142"/>
      <c r="AI58" s="203">
        <v>11</v>
      </c>
    </row>
    <row r="59" spans="1:35" s="203" customFormat="1" ht="11.45" customHeight="1">
      <c r="A59" s="572"/>
      <c r="B59" s="68"/>
      <c r="C59" s="68"/>
      <c r="N59" s="63"/>
      <c r="O59" s="68"/>
      <c r="P59" s="68"/>
      <c r="Q59" s="63"/>
      <c r="R59" s="63"/>
      <c r="S59" s="63"/>
      <c r="T59" s="63"/>
      <c r="U59" s="68"/>
      <c r="V59" s="63"/>
      <c r="W59" s="63"/>
      <c r="X59" s="309"/>
      <c r="Y59" s="63"/>
      <c r="Z59" s="63"/>
      <c r="AA59" s="63"/>
      <c r="AB59" s="63"/>
      <c r="AC59" s="63"/>
      <c r="AD59" s="8"/>
      <c r="AE59" s="142"/>
      <c r="AF59" s="142"/>
      <c r="AG59" s="142"/>
      <c r="AH59" s="142"/>
      <c r="AI59" s="203">
        <v>11</v>
      </c>
    </row>
    <row r="60" spans="1:35" s="203" customFormat="1" ht="11.45" customHeight="1">
      <c r="A60" s="572"/>
      <c r="B60" s="68"/>
      <c r="C60" s="68"/>
      <c r="N60" s="63"/>
      <c r="O60" s="68"/>
      <c r="P60" s="68"/>
      <c r="Q60" s="63"/>
      <c r="R60" s="63"/>
      <c r="S60" s="63"/>
      <c r="T60" s="63"/>
      <c r="U60" s="68"/>
      <c r="V60" s="63"/>
      <c r="W60" s="63"/>
      <c r="X60" s="309"/>
      <c r="Y60" s="63"/>
      <c r="Z60" s="63"/>
      <c r="AA60" s="63"/>
      <c r="AB60" s="63"/>
      <c r="AC60" s="63"/>
      <c r="AD60" s="8"/>
      <c r="AE60" s="142"/>
      <c r="AF60" s="142"/>
      <c r="AG60" s="142"/>
      <c r="AH60" s="142"/>
      <c r="AI60" s="203">
        <v>11</v>
      </c>
    </row>
    <row r="61" spans="1:35" s="203" customFormat="1" ht="11.45" customHeight="1">
      <c r="A61" s="572"/>
      <c r="B61" s="68"/>
      <c r="C61" s="68"/>
      <c r="N61" s="63"/>
      <c r="O61" s="68"/>
      <c r="P61" s="68"/>
      <c r="Q61" s="63"/>
      <c r="R61" s="63"/>
      <c r="S61" s="63"/>
      <c r="T61" s="63"/>
      <c r="U61" s="68"/>
      <c r="V61" s="63"/>
      <c r="W61" s="63"/>
      <c r="X61" s="309"/>
      <c r="Y61" s="63"/>
      <c r="Z61" s="63"/>
      <c r="AA61" s="63"/>
      <c r="AB61" s="63"/>
      <c r="AC61" s="63"/>
      <c r="AD61" s="8"/>
      <c r="AE61" s="142"/>
      <c r="AF61" s="142"/>
      <c r="AG61" s="142"/>
      <c r="AH61" s="142"/>
      <c r="AI61" s="203">
        <v>11</v>
      </c>
    </row>
    <row r="62" spans="1:35" s="203" customFormat="1" ht="11.45" customHeight="1">
      <c r="A62" s="572"/>
      <c r="B62" s="68"/>
      <c r="C62" s="68"/>
      <c r="N62" s="63"/>
      <c r="O62" s="68"/>
      <c r="P62" s="68"/>
      <c r="Q62" s="63"/>
      <c r="R62" s="63"/>
      <c r="S62" s="63"/>
      <c r="T62" s="63"/>
      <c r="U62" s="68"/>
      <c r="V62" s="63"/>
      <c r="W62" s="63"/>
      <c r="X62" s="309"/>
      <c r="Y62" s="63"/>
      <c r="Z62" s="63"/>
      <c r="AA62" s="63"/>
      <c r="AB62" s="63"/>
      <c r="AC62" s="63"/>
      <c r="AD62" s="8"/>
      <c r="AE62" s="142"/>
      <c r="AF62" s="142"/>
      <c r="AG62" s="142"/>
      <c r="AH62" s="142"/>
      <c r="AI62" s="203">
        <v>11</v>
      </c>
    </row>
    <row r="63" spans="1:35" s="203" customFormat="1" ht="11.45" customHeight="1">
      <c r="A63" s="572"/>
      <c r="B63" s="68"/>
      <c r="C63" s="68"/>
      <c r="N63" s="63"/>
      <c r="O63" s="68"/>
      <c r="P63" s="68"/>
      <c r="Q63" s="63"/>
      <c r="R63" s="63"/>
      <c r="S63" s="63"/>
      <c r="T63" s="63"/>
      <c r="U63" s="68"/>
      <c r="V63" s="63"/>
      <c r="W63" s="63"/>
      <c r="X63" s="309"/>
      <c r="Y63" s="63"/>
      <c r="Z63" s="63"/>
      <c r="AA63" s="63"/>
      <c r="AB63" s="63"/>
      <c r="AC63" s="63"/>
      <c r="AD63" s="8"/>
      <c r="AE63" s="142"/>
      <c r="AF63" s="142"/>
      <c r="AG63" s="142"/>
      <c r="AH63" s="142"/>
      <c r="AI63" s="203">
        <v>11</v>
      </c>
    </row>
    <row r="64" spans="1:35" s="203" customFormat="1" ht="11.45" customHeight="1">
      <c r="A64" s="572"/>
      <c r="B64" s="68"/>
      <c r="C64" s="68"/>
      <c r="N64" s="63"/>
      <c r="O64" s="68"/>
      <c r="P64" s="68"/>
      <c r="Q64" s="63"/>
      <c r="R64" s="63"/>
      <c r="S64" s="63"/>
      <c r="T64" s="63"/>
      <c r="U64" s="68"/>
      <c r="V64" s="63"/>
      <c r="W64" s="63"/>
      <c r="X64" s="309"/>
      <c r="Y64" s="63"/>
      <c r="Z64" s="63"/>
      <c r="AA64" s="63"/>
      <c r="AB64" s="63"/>
      <c r="AC64" s="63"/>
      <c r="AD64" s="8"/>
      <c r="AE64" s="142"/>
      <c r="AF64" s="142"/>
      <c r="AG64" s="142"/>
      <c r="AH64" s="142"/>
      <c r="AI64" s="203">
        <v>11</v>
      </c>
    </row>
    <row r="65" spans="1:35" s="203" customFormat="1" ht="11.45" customHeight="1">
      <c r="A65" s="572"/>
      <c r="B65" s="68"/>
      <c r="C65" s="68"/>
      <c r="N65" s="63"/>
      <c r="O65" s="68"/>
      <c r="P65" s="68"/>
      <c r="Q65" s="63"/>
      <c r="R65" s="63"/>
      <c r="S65" s="63"/>
      <c r="T65" s="63"/>
      <c r="U65" s="68"/>
      <c r="V65" s="63"/>
      <c r="W65" s="63"/>
      <c r="X65" s="309"/>
      <c r="Y65" s="63"/>
      <c r="Z65" s="63"/>
      <c r="AA65" s="63"/>
      <c r="AB65" s="63"/>
      <c r="AC65" s="63"/>
      <c r="AD65" s="8"/>
      <c r="AE65" s="142"/>
      <c r="AF65" s="142"/>
      <c r="AG65" s="142"/>
      <c r="AH65" s="142"/>
      <c r="AI65" s="203">
        <v>11</v>
      </c>
    </row>
    <row r="66" spans="1:35" s="203" customFormat="1" ht="11.45" customHeight="1">
      <c r="A66" s="572"/>
      <c r="B66" s="68"/>
      <c r="C66" s="68"/>
      <c r="N66" s="63"/>
      <c r="O66" s="68"/>
      <c r="P66" s="68"/>
      <c r="Q66" s="63"/>
      <c r="R66" s="63"/>
      <c r="S66" s="63"/>
      <c r="T66" s="63"/>
      <c r="U66" s="68"/>
      <c r="V66" s="63"/>
      <c r="W66" s="63"/>
      <c r="X66" s="309"/>
      <c r="Y66" s="63"/>
      <c r="Z66" s="63"/>
      <c r="AA66" s="63"/>
      <c r="AB66" s="63"/>
      <c r="AC66" s="63"/>
      <c r="AD66" s="8"/>
      <c r="AE66" s="142"/>
      <c r="AF66" s="142"/>
      <c r="AG66" s="142"/>
      <c r="AH66" s="142"/>
      <c r="AI66" s="203">
        <v>11</v>
      </c>
    </row>
    <row r="67" spans="1:35" s="203" customFormat="1" ht="11.45" customHeight="1">
      <c r="A67" s="572"/>
      <c r="B67" s="68"/>
      <c r="C67" s="68"/>
      <c r="N67" s="63"/>
      <c r="O67" s="68"/>
      <c r="P67" s="68"/>
      <c r="Q67" s="63"/>
      <c r="R67" s="63"/>
      <c r="S67" s="63"/>
      <c r="T67" s="63"/>
      <c r="U67" s="68"/>
      <c r="V67" s="63"/>
      <c r="W67" s="63"/>
      <c r="X67" s="309"/>
      <c r="Y67" s="63"/>
      <c r="Z67" s="63"/>
      <c r="AA67" s="63"/>
      <c r="AB67" s="63"/>
      <c r="AC67" s="63"/>
      <c r="AD67" s="8"/>
      <c r="AE67" s="142"/>
      <c r="AF67" s="142"/>
      <c r="AG67" s="142"/>
      <c r="AH67" s="142"/>
      <c r="AI67" s="203">
        <v>11</v>
      </c>
    </row>
    <row r="68" spans="1:35" s="203" customFormat="1" ht="11.45" customHeight="1">
      <c r="A68" s="572"/>
      <c r="B68" s="68"/>
      <c r="C68" s="68"/>
      <c r="N68" s="63"/>
      <c r="O68" s="68"/>
      <c r="P68" s="68"/>
      <c r="Q68" s="63"/>
      <c r="R68" s="63"/>
      <c r="S68" s="63"/>
      <c r="T68" s="63"/>
      <c r="U68" s="68"/>
      <c r="V68" s="63"/>
      <c r="W68" s="63"/>
      <c r="X68" s="309"/>
      <c r="Y68" s="63"/>
      <c r="Z68" s="63"/>
      <c r="AA68" s="63"/>
      <c r="AB68" s="63"/>
      <c r="AC68" s="63"/>
      <c r="AD68" s="8"/>
      <c r="AE68" s="142"/>
      <c r="AF68" s="142"/>
      <c r="AG68" s="142"/>
      <c r="AH68" s="142"/>
      <c r="AI68" s="203">
        <v>11</v>
      </c>
    </row>
    <row r="69" spans="1:35" s="203" customFormat="1" ht="11.45" customHeight="1">
      <c r="A69" s="572"/>
      <c r="B69" s="68"/>
      <c r="C69" s="68"/>
      <c r="N69" s="63"/>
      <c r="O69" s="68"/>
      <c r="P69" s="68"/>
      <c r="Q69" s="63"/>
      <c r="R69" s="63"/>
      <c r="S69" s="63"/>
      <c r="T69" s="63"/>
      <c r="U69" s="68"/>
      <c r="V69" s="63"/>
      <c r="W69" s="63"/>
      <c r="X69" s="309"/>
      <c r="Y69" s="63"/>
      <c r="Z69" s="63"/>
      <c r="AA69" s="63"/>
      <c r="AB69" s="63"/>
      <c r="AC69" s="63"/>
      <c r="AD69" s="8"/>
      <c r="AE69" s="142"/>
      <c r="AF69" s="142"/>
      <c r="AG69" s="142"/>
      <c r="AH69" s="142"/>
      <c r="AI69" s="203">
        <v>11</v>
      </c>
    </row>
    <row r="70" spans="1:35" s="203" customFormat="1" ht="11.45" customHeight="1">
      <c r="A70" s="572"/>
      <c r="B70" s="68"/>
      <c r="C70" s="68"/>
      <c r="N70" s="63"/>
      <c r="O70" s="68"/>
      <c r="P70" s="68"/>
      <c r="Q70" s="63"/>
      <c r="R70" s="63"/>
      <c r="S70" s="63"/>
      <c r="T70" s="63"/>
      <c r="U70" s="68"/>
      <c r="V70" s="63"/>
      <c r="W70" s="63"/>
      <c r="X70" s="309"/>
      <c r="Y70" s="63"/>
      <c r="Z70" s="63"/>
      <c r="AA70" s="63"/>
      <c r="AB70" s="63"/>
      <c r="AC70" s="63"/>
      <c r="AD70" s="8"/>
      <c r="AE70" s="142"/>
      <c r="AF70" s="142"/>
      <c r="AG70" s="142"/>
      <c r="AH70" s="142"/>
      <c r="AI70" s="203">
        <v>11</v>
      </c>
    </row>
    <row r="71" spans="1:35" s="203" customFormat="1" ht="11.45" customHeight="1">
      <c r="A71" s="572"/>
      <c r="B71" s="68"/>
      <c r="C71" s="68"/>
      <c r="N71" s="63"/>
      <c r="O71" s="68"/>
      <c r="P71" s="68"/>
      <c r="Q71" s="63"/>
      <c r="R71" s="63"/>
      <c r="S71" s="63"/>
      <c r="T71" s="63"/>
      <c r="U71" s="68"/>
      <c r="V71" s="63"/>
      <c r="W71" s="63"/>
      <c r="X71" s="309"/>
      <c r="Y71" s="63"/>
      <c r="Z71" s="63"/>
      <c r="AA71" s="63"/>
      <c r="AB71" s="63"/>
      <c r="AC71" s="63"/>
      <c r="AD71" s="8"/>
      <c r="AE71" s="142"/>
      <c r="AF71" s="142"/>
      <c r="AG71" s="142"/>
      <c r="AH71" s="142"/>
      <c r="AI71" s="203">
        <v>11</v>
      </c>
    </row>
    <row r="72" spans="1:35" s="203" customFormat="1" ht="11.45" customHeight="1">
      <c r="A72" s="572"/>
      <c r="B72" s="68"/>
      <c r="C72" s="68"/>
      <c r="N72" s="63"/>
      <c r="O72" s="68"/>
      <c r="P72" s="68"/>
      <c r="Q72" s="63"/>
      <c r="R72" s="63"/>
      <c r="S72" s="63"/>
      <c r="T72" s="63"/>
      <c r="U72" s="68"/>
      <c r="V72" s="63"/>
      <c r="W72" s="63"/>
      <c r="X72" s="309"/>
      <c r="Y72" s="63"/>
      <c r="Z72" s="63"/>
      <c r="AA72" s="63"/>
      <c r="AB72" s="63"/>
      <c r="AC72" s="63"/>
      <c r="AD72" s="8"/>
      <c r="AE72" s="142"/>
      <c r="AF72" s="142"/>
      <c r="AG72" s="142"/>
      <c r="AH72" s="142"/>
      <c r="AI72" s="203">
        <v>11</v>
      </c>
    </row>
    <row r="73" spans="1:35" s="203" customFormat="1" ht="11.45" customHeight="1">
      <c r="A73" s="572"/>
      <c r="B73" s="68"/>
      <c r="C73" s="68"/>
      <c r="N73" s="63"/>
      <c r="O73" s="68"/>
      <c r="P73" s="68"/>
      <c r="Q73" s="63"/>
      <c r="R73" s="63"/>
      <c r="S73" s="63"/>
      <c r="T73" s="63"/>
      <c r="U73" s="68"/>
      <c r="V73" s="63"/>
      <c r="W73" s="63"/>
      <c r="X73" s="309"/>
      <c r="Y73" s="63"/>
      <c r="Z73" s="63"/>
      <c r="AA73" s="63"/>
      <c r="AB73" s="63"/>
      <c r="AC73" s="63"/>
      <c r="AD73" s="8"/>
      <c r="AE73" s="142"/>
      <c r="AF73" s="142"/>
      <c r="AG73" s="142"/>
      <c r="AH73" s="142"/>
      <c r="AI73" s="203">
        <v>11</v>
      </c>
    </row>
    <row r="74" spans="1:35" s="203" customFormat="1" ht="11.45" customHeight="1">
      <c r="A74" s="572"/>
      <c r="B74" s="68"/>
      <c r="C74" s="68"/>
      <c r="N74" s="63"/>
      <c r="O74" s="68"/>
      <c r="P74" s="68"/>
      <c r="Q74" s="63"/>
      <c r="R74" s="63"/>
      <c r="S74" s="63"/>
      <c r="T74" s="63"/>
      <c r="U74" s="68"/>
      <c r="V74" s="63"/>
      <c r="W74" s="63"/>
      <c r="X74" s="309"/>
      <c r="Y74" s="63"/>
      <c r="Z74" s="63"/>
      <c r="AA74" s="63"/>
      <c r="AB74" s="63"/>
      <c r="AC74" s="63"/>
      <c r="AD74" s="8"/>
      <c r="AE74" s="142"/>
      <c r="AF74" s="142"/>
      <c r="AG74" s="142"/>
      <c r="AH74" s="142"/>
      <c r="AI74" s="203">
        <v>11</v>
      </c>
    </row>
    <row r="75" spans="1:35" s="203" customFormat="1" ht="11.45" customHeight="1">
      <c r="A75" s="572"/>
      <c r="B75" s="68"/>
      <c r="C75" s="68"/>
      <c r="N75" s="63"/>
      <c r="O75" s="68"/>
      <c r="P75" s="68"/>
      <c r="Q75" s="63"/>
      <c r="R75" s="63"/>
      <c r="S75" s="63"/>
      <c r="T75" s="63"/>
      <c r="U75" s="68"/>
      <c r="V75" s="63"/>
      <c r="W75" s="63"/>
      <c r="X75" s="309"/>
      <c r="Y75" s="63"/>
      <c r="Z75" s="63"/>
      <c r="AA75" s="63"/>
      <c r="AB75" s="63"/>
      <c r="AC75" s="63"/>
      <c r="AD75" s="8"/>
      <c r="AE75" s="142"/>
      <c r="AF75" s="142"/>
      <c r="AG75" s="142"/>
      <c r="AH75" s="142"/>
      <c r="AI75" s="203">
        <v>11</v>
      </c>
    </row>
    <row r="76" spans="1:35" s="203" customFormat="1" ht="11.45" customHeight="1">
      <c r="A76" s="572"/>
      <c r="B76" s="68"/>
      <c r="C76" s="68"/>
      <c r="N76" s="63"/>
      <c r="O76" s="68"/>
      <c r="P76" s="68"/>
      <c r="Q76" s="63"/>
      <c r="R76" s="63"/>
      <c r="S76" s="63"/>
      <c r="T76" s="63"/>
      <c r="U76" s="68"/>
      <c r="V76" s="63"/>
      <c r="W76" s="63"/>
      <c r="X76" s="309"/>
      <c r="Y76" s="63"/>
      <c r="Z76" s="63"/>
      <c r="AA76" s="63"/>
      <c r="AB76" s="63"/>
      <c r="AC76" s="63"/>
      <c r="AD76" s="8"/>
      <c r="AE76" s="142"/>
      <c r="AF76" s="142"/>
      <c r="AG76" s="142"/>
      <c r="AH76" s="142"/>
      <c r="AI76" s="203">
        <v>11</v>
      </c>
    </row>
    <row r="77" spans="1:35" s="203" customFormat="1" ht="11.45" customHeight="1">
      <c r="A77" s="572"/>
      <c r="B77" s="68"/>
      <c r="C77" s="68"/>
      <c r="N77" s="63"/>
      <c r="O77" s="68"/>
      <c r="P77" s="68"/>
      <c r="Q77" s="63"/>
      <c r="R77" s="63"/>
      <c r="S77" s="63"/>
      <c r="T77" s="63"/>
      <c r="U77" s="68"/>
      <c r="V77" s="63"/>
      <c r="W77" s="63"/>
      <c r="X77" s="309"/>
      <c r="Y77" s="63"/>
      <c r="Z77" s="63"/>
      <c r="AA77" s="63"/>
      <c r="AB77" s="63"/>
      <c r="AC77" s="63"/>
      <c r="AD77" s="8"/>
      <c r="AE77" s="142"/>
      <c r="AF77" s="142"/>
      <c r="AG77" s="142"/>
      <c r="AH77" s="142"/>
      <c r="AI77" s="203">
        <v>11</v>
      </c>
    </row>
    <row r="78" spans="1:35" s="203" customFormat="1" ht="11.45" customHeight="1">
      <c r="A78" s="572"/>
      <c r="B78" s="68"/>
      <c r="C78" s="68"/>
      <c r="N78" s="63"/>
      <c r="O78" s="68"/>
      <c r="P78" s="68"/>
      <c r="Q78" s="63"/>
      <c r="R78" s="63"/>
      <c r="S78" s="63"/>
      <c r="T78" s="63"/>
      <c r="U78" s="68"/>
      <c r="V78" s="63"/>
      <c r="W78" s="63"/>
      <c r="X78" s="309"/>
      <c r="Y78" s="63"/>
      <c r="Z78" s="63"/>
      <c r="AA78" s="63"/>
      <c r="AB78" s="63"/>
      <c r="AC78" s="63"/>
      <c r="AD78" s="8"/>
      <c r="AE78" s="142"/>
      <c r="AF78" s="142"/>
      <c r="AG78" s="142"/>
      <c r="AH78" s="142"/>
      <c r="AI78" s="203">
        <v>11</v>
      </c>
    </row>
    <row r="79" spans="1:35" s="203" customFormat="1" ht="11.45" customHeight="1">
      <c r="A79" s="572"/>
      <c r="B79" s="68"/>
      <c r="C79" s="68"/>
      <c r="N79" s="63"/>
      <c r="O79" s="68"/>
      <c r="P79" s="68"/>
      <c r="Q79" s="63"/>
      <c r="R79" s="63"/>
      <c r="S79" s="63"/>
      <c r="T79" s="63"/>
      <c r="U79" s="68"/>
      <c r="V79" s="63"/>
      <c r="W79" s="63"/>
      <c r="X79" s="309"/>
      <c r="Y79" s="63"/>
      <c r="Z79" s="63"/>
      <c r="AA79" s="63"/>
      <c r="AB79" s="63"/>
      <c r="AC79" s="63"/>
      <c r="AD79" s="8"/>
      <c r="AE79" s="142"/>
      <c r="AF79" s="142"/>
      <c r="AG79" s="142"/>
      <c r="AH79" s="142"/>
      <c r="AI79" s="203">
        <v>11</v>
      </c>
    </row>
    <row r="80" spans="1:35" s="203" customFormat="1" ht="11.45" customHeight="1">
      <c r="A80" s="572"/>
      <c r="B80" s="68"/>
      <c r="C80" s="68"/>
      <c r="N80" s="63"/>
      <c r="O80" s="68"/>
      <c r="P80" s="68"/>
      <c r="Q80" s="63"/>
      <c r="R80" s="63"/>
      <c r="S80" s="63"/>
      <c r="T80" s="63"/>
      <c r="U80" s="68"/>
      <c r="V80" s="63"/>
      <c r="W80" s="63"/>
      <c r="X80" s="309"/>
      <c r="Y80" s="63"/>
      <c r="Z80" s="63"/>
      <c r="AA80" s="63"/>
      <c r="AB80" s="63"/>
      <c r="AC80" s="63"/>
      <c r="AD80" s="8"/>
      <c r="AE80" s="142"/>
      <c r="AF80" s="142"/>
      <c r="AG80" s="142"/>
      <c r="AH80" s="142"/>
      <c r="AI80" s="203">
        <v>11</v>
      </c>
    </row>
    <row r="81" spans="1:35" s="203" customFormat="1" ht="11.45" customHeight="1">
      <c r="A81" s="572"/>
      <c r="B81" s="68"/>
      <c r="C81" s="68"/>
      <c r="N81" s="63"/>
      <c r="O81" s="68"/>
      <c r="P81" s="68"/>
      <c r="Q81" s="63"/>
      <c r="R81" s="63"/>
      <c r="S81" s="63"/>
      <c r="T81" s="63"/>
      <c r="U81" s="68"/>
      <c r="V81" s="63"/>
      <c r="W81" s="63"/>
      <c r="X81" s="309"/>
      <c r="Y81" s="63"/>
      <c r="Z81" s="63"/>
      <c r="AA81" s="63"/>
      <c r="AB81" s="63"/>
      <c r="AC81" s="63"/>
      <c r="AD81" s="8"/>
      <c r="AE81" s="142"/>
      <c r="AF81" s="142"/>
      <c r="AG81" s="142"/>
      <c r="AH81" s="142"/>
      <c r="AI81" s="203">
        <v>11</v>
      </c>
    </row>
    <row r="82" spans="1:35" s="203" customFormat="1" ht="11.45" customHeight="1">
      <c r="A82" s="572"/>
      <c r="B82" s="68"/>
      <c r="C82" s="68"/>
      <c r="N82" s="63"/>
      <c r="O82" s="68"/>
      <c r="P82" s="68"/>
      <c r="Q82" s="63"/>
      <c r="R82" s="63"/>
      <c r="S82" s="63"/>
      <c r="T82" s="63"/>
      <c r="U82" s="68"/>
      <c r="V82" s="63"/>
      <c r="W82" s="63"/>
      <c r="X82" s="309"/>
      <c r="Y82" s="63"/>
      <c r="Z82" s="63"/>
      <c r="AA82" s="63"/>
      <c r="AB82" s="63"/>
      <c r="AC82" s="63"/>
      <c r="AD82" s="8"/>
      <c r="AE82" s="142"/>
      <c r="AF82" s="142"/>
      <c r="AG82" s="142"/>
      <c r="AH82" s="142"/>
      <c r="AI82" s="203">
        <v>11</v>
      </c>
    </row>
    <row r="83" spans="1:35" s="203" customFormat="1" ht="11.45" customHeight="1">
      <c r="A83" s="572"/>
      <c r="B83" s="68"/>
      <c r="C83" s="68"/>
      <c r="N83" s="63"/>
      <c r="O83" s="68"/>
      <c r="P83" s="68"/>
      <c r="Q83" s="63"/>
      <c r="R83" s="63"/>
      <c r="S83" s="63"/>
      <c r="T83" s="63"/>
      <c r="U83" s="68"/>
      <c r="V83" s="63"/>
      <c r="W83" s="63"/>
      <c r="X83" s="309"/>
      <c r="Y83" s="63"/>
      <c r="Z83" s="63"/>
      <c r="AA83" s="63"/>
      <c r="AB83" s="63"/>
      <c r="AC83" s="63"/>
      <c r="AD83" s="8"/>
      <c r="AE83" s="142"/>
      <c r="AF83" s="142"/>
      <c r="AG83" s="142"/>
      <c r="AH83" s="142"/>
      <c r="AI83" s="203">
        <v>11</v>
      </c>
    </row>
    <row r="84" spans="1:35" s="203" customFormat="1" ht="11.45" customHeight="1">
      <c r="A84" s="572"/>
      <c r="B84" s="68"/>
      <c r="C84" s="68"/>
      <c r="N84" s="63"/>
      <c r="O84" s="68"/>
      <c r="P84" s="68"/>
      <c r="Q84" s="63"/>
      <c r="R84" s="63"/>
      <c r="S84" s="63"/>
      <c r="T84" s="63"/>
      <c r="U84" s="68"/>
      <c r="V84" s="63"/>
      <c r="W84" s="63"/>
      <c r="X84" s="309"/>
      <c r="Y84" s="63"/>
      <c r="Z84" s="63"/>
      <c r="AA84" s="63"/>
      <c r="AB84" s="63"/>
      <c r="AC84" s="63"/>
      <c r="AD84" s="8"/>
      <c r="AE84" s="142"/>
      <c r="AF84" s="142"/>
      <c r="AG84" s="142"/>
      <c r="AH84" s="142"/>
      <c r="AI84" s="203">
        <v>11</v>
      </c>
    </row>
    <row r="85" spans="1:35" s="203" customFormat="1" ht="11.45" customHeight="1">
      <c r="A85" s="572"/>
      <c r="B85" s="68"/>
      <c r="C85" s="68"/>
      <c r="N85" s="63"/>
      <c r="O85" s="68"/>
      <c r="P85" s="68"/>
      <c r="Q85" s="63"/>
      <c r="R85" s="63"/>
      <c r="S85" s="63"/>
      <c r="T85" s="63"/>
      <c r="U85" s="68"/>
      <c r="V85" s="63"/>
      <c r="W85" s="63"/>
      <c r="X85" s="309"/>
      <c r="Y85" s="63"/>
      <c r="Z85" s="63"/>
      <c r="AA85" s="63"/>
      <c r="AB85" s="63"/>
      <c r="AC85" s="63"/>
      <c r="AD85" s="8"/>
      <c r="AE85" s="142"/>
      <c r="AF85" s="142"/>
      <c r="AG85" s="142"/>
      <c r="AH85" s="142"/>
      <c r="AI85" s="203">
        <v>11</v>
      </c>
    </row>
    <row r="86" spans="1:35" s="203" customFormat="1" ht="11.45" customHeight="1">
      <c r="A86" s="572"/>
      <c r="B86" s="68"/>
      <c r="C86" s="68"/>
      <c r="N86" s="63"/>
      <c r="O86" s="68"/>
      <c r="P86" s="68"/>
      <c r="Q86" s="63"/>
      <c r="R86" s="63"/>
      <c r="S86" s="63"/>
      <c r="T86" s="63"/>
      <c r="U86" s="68"/>
      <c r="V86" s="63"/>
      <c r="W86" s="63"/>
      <c r="X86" s="309"/>
      <c r="Y86" s="63"/>
      <c r="Z86" s="63"/>
      <c r="AA86" s="63"/>
      <c r="AB86" s="63"/>
      <c r="AC86" s="63"/>
      <c r="AD86" s="8"/>
      <c r="AE86" s="142"/>
      <c r="AF86" s="142"/>
      <c r="AG86" s="142"/>
      <c r="AH86" s="142"/>
      <c r="AI86" s="203">
        <v>11</v>
      </c>
    </row>
    <row r="87" spans="1:35" s="203" customFormat="1" ht="11.45" customHeight="1">
      <c r="A87" s="572"/>
      <c r="B87" s="68"/>
      <c r="C87" s="68"/>
      <c r="N87" s="63"/>
      <c r="O87" s="68"/>
      <c r="P87" s="68"/>
      <c r="Q87" s="63"/>
      <c r="R87" s="63"/>
      <c r="S87" s="63"/>
      <c r="T87" s="63"/>
      <c r="U87" s="68"/>
      <c r="V87" s="63"/>
      <c r="W87" s="63"/>
      <c r="X87" s="309"/>
      <c r="Y87" s="63"/>
      <c r="Z87" s="63"/>
      <c r="AA87" s="63"/>
      <c r="AB87" s="63"/>
      <c r="AC87" s="63"/>
      <c r="AD87" s="8"/>
      <c r="AE87" s="142"/>
      <c r="AF87" s="142"/>
      <c r="AG87" s="142"/>
      <c r="AH87" s="142"/>
      <c r="AI87" s="203">
        <v>11</v>
      </c>
    </row>
    <row r="88" spans="1:35" s="203" customFormat="1" ht="11.45" customHeight="1">
      <c r="A88" s="572"/>
      <c r="B88" s="68"/>
      <c r="C88" s="68"/>
      <c r="N88" s="63"/>
      <c r="O88" s="68"/>
      <c r="P88" s="68"/>
      <c r="Q88" s="63"/>
      <c r="R88" s="63"/>
      <c r="S88" s="63"/>
      <c r="T88" s="63"/>
      <c r="U88" s="68"/>
      <c r="V88" s="63"/>
      <c r="W88" s="63"/>
      <c r="X88" s="309"/>
      <c r="Y88" s="63"/>
      <c r="Z88" s="63"/>
      <c r="AA88" s="63"/>
      <c r="AB88" s="63"/>
      <c r="AC88" s="63"/>
      <c r="AD88" s="8"/>
      <c r="AE88" s="142"/>
      <c r="AF88" s="142"/>
      <c r="AG88" s="142"/>
      <c r="AH88" s="142"/>
      <c r="AI88" s="203">
        <v>11</v>
      </c>
    </row>
    <row r="89" spans="1:35" s="203" customFormat="1" ht="11.45" customHeight="1">
      <c r="A89" s="572"/>
      <c r="B89" s="68"/>
      <c r="C89" s="68"/>
      <c r="N89" s="63"/>
      <c r="O89" s="68"/>
      <c r="P89" s="68"/>
      <c r="Q89" s="63"/>
      <c r="R89" s="63"/>
      <c r="S89" s="63"/>
      <c r="T89" s="63"/>
      <c r="U89" s="68"/>
      <c r="V89" s="63"/>
      <c r="W89" s="63"/>
      <c r="X89" s="309"/>
      <c r="Y89" s="63"/>
      <c r="Z89" s="63"/>
      <c r="AA89" s="63"/>
      <c r="AB89" s="63"/>
      <c r="AC89" s="63"/>
      <c r="AD89" s="8"/>
      <c r="AE89" s="142"/>
      <c r="AF89" s="142"/>
      <c r="AG89" s="142"/>
      <c r="AH89" s="142"/>
      <c r="AI89" s="203">
        <v>11</v>
      </c>
    </row>
    <row r="90" spans="1:35" s="203" customFormat="1" ht="11.45" customHeight="1">
      <c r="A90" s="572"/>
      <c r="B90" s="68"/>
      <c r="C90" s="68"/>
      <c r="N90" s="63"/>
      <c r="O90" s="68"/>
      <c r="P90" s="68"/>
      <c r="Q90" s="63"/>
      <c r="R90" s="63"/>
      <c r="S90" s="63"/>
      <c r="T90" s="63"/>
      <c r="U90" s="68"/>
      <c r="V90" s="63"/>
      <c r="W90" s="63"/>
      <c r="X90" s="309"/>
      <c r="Y90" s="63"/>
      <c r="Z90" s="63"/>
      <c r="AA90" s="63"/>
      <c r="AB90" s="63"/>
      <c r="AC90" s="63"/>
      <c r="AD90" s="8"/>
      <c r="AE90" s="142"/>
      <c r="AF90" s="142"/>
      <c r="AG90" s="142"/>
      <c r="AH90" s="142"/>
      <c r="AI90" s="203">
        <v>11</v>
      </c>
    </row>
    <row r="91" spans="1:35" s="203" customFormat="1" ht="11.45" customHeight="1">
      <c r="A91" s="572"/>
      <c r="B91" s="68"/>
      <c r="C91" s="68"/>
      <c r="N91" s="63"/>
      <c r="O91" s="68"/>
      <c r="P91" s="68"/>
      <c r="Q91" s="63"/>
      <c r="R91" s="63"/>
      <c r="S91" s="63"/>
      <c r="T91" s="63"/>
      <c r="U91" s="68"/>
      <c r="V91" s="63"/>
      <c r="W91" s="63"/>
      <c r="X91" s="309"/>
      <c r="Y91" s="63"/>
      <c r="Z91" s="63"/>
      <c r="AA91" s="63"/>
      <c r="AB91" s="63"/>
      <c r="AC91" s="63"/>
      <c r="AD91" s="8"/>
      <c r="AE91" s="142"/>
      <c r="AF91" s="142"/>
      <c r="AG91" s="142"/>
      <c r="AH91" s="142"/>
      <c r="AI91" s="203">
        <v>11</v>
      </c>
    </row>
    <row r="92" spans="1:35" s="203" customFormat="1" ht="11.45" customHeight="1">
      <c r="A92" s="572"/>
      <c r="B92" s="68"/>
      <c r="C92" s="68"/>
      <c r="N92" s="63"/>
      <c r="O92" s="68"/>
      <c r="P92" s="68"/>
      <c r="Q92" s="63"/>
      <c r="R92" s="63"/>
      <c r="S92" s="63"/>
      <c r="T92" s="63"/>
      <c r="U92" s="68"/>
      <c r="V92" s="63"/>
      <c r="W92" s="63"/>
      <c r="X92" s="309"/>
      <c r="Y92" s="63"/>
      <c r="Z92" s="63"/>
      <c r="AA92" s="63"/>
      <c r="AB92" s="63"/>
      <c r="AC92" s="63"/>
      <c r="AD92" s="8"/>
      <c r="AE92" s="142"/>
      <c r="AF92" s="142"/>
      <c r="AG92" s="142"/>
      <c r="AH92" s="142"/>
      <c r="AI92" s="203">
        <v>11</v>
      </c>
    </row>
    <row r="93" spans="1:35" s="203" customFormat="1" ht="11.45" customHeight="1">
      <c r="A93" s="572"/>
      <c r="B93" s="68"/>
      <c r="C93" s="68"/>
      <c r="N93" s="63"/>
      <c r="O93" s="68"/>
      <c r="P93" s="68"/>
      <c r="Q93" s="63"/>
      <c r="R93" s="63"/>
      <c r="S93" s="63"/>
      <c r="T93" s="63"/>
      <c r="U93" s="68"/>
      <c r="V93" s="63"/>
      <c r="W93" s="63"/>
      <c r="X93" s="309"/>
      <c r="Y93" s="63"/>
      <c r="Z93" s="63"/>
      <c r="AA93" s="63"/>
      <c r="AB93" s="63"/>
      <c r="AC93" s="63"/>
      <c r="AD93" s="8"/>
      <c r="AE93" s="142"/>
      <c r="AF93" s="142"/>
      <c r="AG93" s="142"/>
      <c r="AH93" s="142"/>
      <c r="AI93" s="203">
        <v>11</v>
      </c>
    </row>
    <row r="94" spans="1:35" s="203" customFormat="1" ht="11.45" customHeight="1">
      <c r="A94" s="572"/>
      <c r="B94" s="68"/>
      <c r="C94" s="68"/>
      <c r="N94" s="63"/>
      <c r="O94" s="68"/>
      <c r="P94" s="68"/>
      <c r="Q94" s="63"/>
      <c r="R94" s="63"/>
      <c r="S94" s="63"/>
      <c r="T94" s="63"/>
      <c r="U94" s="68"/>
      <c r="V94" s="63"/>
      <c r="W94" s="63"/>
      <c r="X94" s="309"/>
      <c r="Y94" s="63"/>
      <c r="Z94" s="63"/>
      <c r="AA94" s="63"/>
      <c r="AB94" s="63"/>
      <c r="AC94" s="63"/>
      <c r="AD94" s="8"/>
      <c r="AE94" s="142"/>
      <c r="AF94" s="142"/>
      <c r="AG94" s="142"/>
      <c r="AH94" s="142"/>
      <c r="AI94" s="203">
        <v>11</v>
      </c>
    </row>
    <row r="95" spans="1:35" s="203" customFormat="1" ht="11.45" customHeight="1">
      <c r="A95" s="572"/>
      <c r="B95" s="68"/>
      <c r="C95" s="68"/>
      <c r="N95" s="63"/>
      <c r="O95" s="68"/>
      <c r="P95" s="68"/>
      <c r="Q95" s="63"/>
      <c r="R95" s="63"/>
      <c r="S95" s="63"/>
      <c r="T95" s="63"/>
      <c r="U95" s="68"/>
      <c r="V95" s="63"/>
      <c r="W95" s="63"/>
      <c r="X95" s="309"/>
      <c r="Y95" s="63"/>
      <c r="Z95" s="63"/>
      <c r="AA95" s="63"/>
      <c r="AB95" s="63"/>
      <c r="AC95" s="63"/>
      <c r="AD95" s="8"/>
      <c r="AE95" s="142"/>
      <c r="AF95" s="142"/>
      <c r="AG95" s="142"/>
      <c r="AH95" s="142"/>
      <c r="AI95" s="203">
        <v>11</v>
      </c>
    </row>
    <row r="96" spans="1:35" s="203" customFormat="1" ht="11.45" customHeight="1">
      <c r="A96" s="572"/>
      <c r="B96" s="68"/>
      <c r="C96" s="68"/>
      <c r="N96" s="63"/>
      <c r="O96" s="68"/>
      <c r="P96" s="68"/>
      <c r="Q96" s="63"/>
      <c r="R96" s="63"/>
      <c r="S96" s="63"/>
      <c r="T96" s="63"/>
      <c r="U96" s="68"/>
      <c r="V96" s="63"/>
      <c r="W96" s="63"/>
      <c r="X96" s="309"/>
      <c r="Y96" s="63"/>
      <c r="Z96" s="63"/>
      <c r="AA96" s="63"/>
      <c r="AB96" s="63"/>
      <c r="AC96" s="63"/>
      <c r="AD96" s="8"/>
      <c r="AE96" s="142"/>
      <c r="AF96" s="142"/>
      <c r="AG96" s="142"/>
      <c r="AH96" s="142"/>
      <c r="AI96" s="203">
        <v>11</v>
      </c>
    </row>
    <row r="97" spans="1:35" s="203" customFormat="1" ht="11.45" customHeight="1">
      <c r="A97" s="572"/>
      <c r="B97" s="68"/>
      <c r="C97" s="68"/>
      <c r="N97" s="63"/>
      <c r="O97" s="68"/>
      <c r="P97" s="68"/>
      <c r="Q97" s="63"/>
      <c r="R97" s="63"/>
      <c r="S97" s="63"/>
      <c r="T97" s="63"/>
      <c r="U97" s="68"/>
      <c r="V97" s="63"/>
      <c r="W97" s="63"/>
      <c r="X97" s="309"/>
      <c r="Y97" s="63"/>
      <c r="Z97" s="63"/>
      <c r="AA97" s="63"/>
      <c r="AB97" s="63"/>
      <c r="AC97" s="63"/>
      <c r="AD97" s="8"/>
      <c r="AE97" s="142"/>
      <c r="AF97" s="142"/>
      <c r="AG97" s="142"/>
      <c r="AH97" s="142"/>
      <c r="AI97" s="203">
        <v>11</v>
      </c>
    </row>
    <row r="98" spans="1:35" s="203" customFormat="1" ht="11.45" customHeight="1">
      <c r="A98" s="572"/>
      <c r="B98" s="68"/>
      <c r="C98" s="68"/>
      <c r="N98" s="63"/>
      <c r="O98" s="68"/>
      <c r="P98" s="68"/>
      <c r="Q98" s="63"/>
      <c r="R98" s="63"/>
      <c r="S98" s="63"/>
      <c r="T98" s="63"/>
      <c r="U98" s="68"/>
      <c r="V98" s="63"/>
      <c r="W98" s="63"/>
      <c r="X98" s="309"/>
      <c r="Y98" s="63"/>
      <c r="Z98" s="63"/>
      <c r="AA98" s="63"/>
      <c r="AB98" s="63"/>
      <c r="AC98" s="63"/>
      <c r="AD98" s="8"/>
      <c r="AE98" s="142"/>
      <c r="AF98" s="142"/>
      <c r="AG98" s="142"/>
      <c r="AH98" s="142"/>
      <c r="AI98" s="203">
        <v>11</v>
      </c>
    </row>
    <row r="99" spans="1:35" s="203" customFormat="1" ht="11.45" customHeight="1">
      <c r="A99" s="572"/>
      <c r="B99" s="68"/>
      <c r="C99" s="68"/>
      <c r="N99" s="63"/>
      <c r="O99" s="68"/>
      <c r="P99" s="68"/>
      <c r="Q99" s="63"/>
      <c r="R99" s="63"/>
      <c r="S99" s="63"/>
      <c r="T99" s="63"/>
      <c r="U99" s="68"/>
      <c r="V99" s="63"/>
      <c r="W99" s="63"/>
      <c r="X99" s="309"/>
      <c r="Y99" s="63"/>
      <c r="Z99" s="63"/>
      <c r="AA99" s="63"/>
      <c r="AB99" s="63"/>
      <c r="AC99" s="63"/>
      <c r="AD99" s="8"/>
      <c r="AE99" s="142"/>
      <c r="AF99" s="142"/>
      <c r="AG99" s="142"/>
      <c r="AH99" s="142"/>
      <c r="AI99" s="203">
        <v>11</v>
      </c>
    </row>
    <row r="100" spans="1:35" s="203" customFormat="1" ht="11.45" customHeight="1">
      <c r="A100" s="572"/>
      <c r="B100" s="68"/>
      <c r="C100" s="68"/>
      <c r="N100" s="63"/>
      <c r="O100" s="68"/>
      <c r="P100" s="68"/>
      <c r="Q100" s="63"/>
      <c r="R100" s="63"/>
      <c r="S100" s="63"/>
      <c r="T100" s="63"/>
      <c r="U100" s="68"/>
      <c r="V100" s="63"/>
      <c r="W100" s="63"/>
      <c r="X100" s="309"/>
      <c r="Y100" s="63"/>
      <c r="Z100" s="63"/>
      <c r="AA100" s="63"/>
      <c r="AB100" s="63"/>
      <c r="AC100" s="63"/>
      <c r="AD100" s="8"/>
      <c r="AE100" s="142"/>
      <c r="AF100" s="142"/>
      <c r="AG100" s="142"/>
      <c r="AH100" s="142"/>
      <c r="AI100" s="203">
        <v>11</v>
      </c>
    </row>
    <row r="101" spans="1:35" s="203" customFormat="1" ht="11.45" customHeight="1">
      <c r="A101" s="572"/>
      <c r="B101" s="68"/>
      <c r="C101" s="68"/>
      <c r="N101" s="63"/>
      <c r="O101" s="68"/>
      <c r="P101" s="68"/>
      <c r="Q101" s="63"/>
      <c r="R101" s="63"/>
      <c r="S101" s="63"/>
      <c r="T101" s="63"/>
      <c r="U101" s="68"/>
      <c r="V101" s="63"/>
      <c r="W101" s="63"/>
      <c r="X101" s="309"/>
      <c r="Y101" s="63"/>
      <c r="Z101" s="63"/>
      <c r="AA101" s="63"/>
      <c r="AB101" s="63"/>
      <c r="AC101" s="63"/>
      <c r="AD101" s="8"/>
      <c r="AE101" s="142"/>
      <c r="AF101" s="142"/>
      <c r="AG101" s="142"/>
      <c r="AH101" s="142"/>
      <c r="AI101" s="203">
        <v>11</v>
      </c>
    </row>
    <row r="102" spans="1:35" s="203" customFormat="1" ht="11.45" customHeight="1">
      <c r="A102" s="572"/>
      <c r="B102" s="68"/>
      <c r="C102" s="68"/>
      <c r="N102" s="63"/>
      <c r="O102" s="68"/>
      <c r="P102" s="68"/>
      <c r="Q102" s="63"/>
      <c r="R102" s="63"/>
      <c r="S102" s="63"/>
      <c r="T102" s="63"/>
      <c r="U102" s="68"/>
      <c r="V102" s="63"/>
      <c r="W102" s="63"/>
      <c r="X102" s="309"/>
      <c r="Y102" s="63"/>
      <c r="Z102" s="63"/>
      <c r="AA102" s="63"/>
      <c r="AB102" s="63"/>
      <c r="AC102" s="63"/>
      <c r="AD102" s="8"/>
      <c r="AE102" s="142"/>
      <c r="AF102" s="142"/>
      <c r="AG102" s="142"/>
      <c r="AH102" s="142"/>
      <c r="AI102" s="203">
        <v>11</v>
      </c>
    </row>
    <row r="103" spans="1:35" s="203" customFormat="1" ht="11.45" customHeight="1">
      <c r="A103" s="572"/>
      <c r="B103" s="68"/>
      <c r="C103" s="68"/>
      <c r="N103" s="63"/>
      <c r="O103" s="68"/>
      <c r="P103" s="68"/>
      <c r="Q103" s="63"/>
      <c r="R103" s="63"/>
      <c r="S103" s="63"/>
      <c r="T103" s="63"/>
      <c r="U103" s="68"/>
      <c r="V103" s="63"/>
      <c r="W103" s="63"/>
      <c r="X103" s="309"/>
      <c r="Y103" s="63"/>
      <c r="Z103" s="63"/>
      <c r="AA103" s="63"/>
      <c r="AB103" s="63"/>
      <c r="AC103" s="63"/>
      <c r="AD103" s="8"/>
      <c r="AE103" s="142"/>
      <c r="AF103" s="142"/>
      <c r="AG103" s="142"/>
      <c r="AH103" s="142"/>
      <c r="AI103" s="203">
        <v>11</v>
      </c>
    </row>
    <row r="104" spans="1:35" s="203" customFormat="1" ht="11.45" customHeight="1">
      <c r="A104" s="572"/>
      <c r="B104" s="68"/>
      <c r="C104" s="68"/>
      <c r="N104" s="63"/>
      <c r="O104" s="68"/>
      <c r="P104" s="68"/>
      <c r="Q104" s="63"/>
      <c r="R104" s="63"/>
      <c r="S104" s="63"/>
      <c r="T104" s="63"/>
      <c r="U104" s="68"/>
      <c r="V104" s="63"/>
      <c r="W104" s="63"/>
      <c r="X104" s="309"/>
      <c r="Y104" s="63"/>
      <c r="Z104" s="63"/>
      <c r="AA104" s="63"/>
      <c r="AB104" s="63"/>
      <c r="AC104" s="63"/>
      <c r="AD104" s="8"/>
      <c r="AE104" s="142"/>
      <c r="AF104" s="142"/>
      <c r="AG104" s="142"/>
      <c r="AH104" s="142"/>
      <c r="AI104" s="203">
        <v>11</v>
      </c>
    </row>
    <row r="105" spans="1:35" s="203" customFormat="1" ht="11.45" customHeight="1">
      <c r="A105" s="572"/>
      <c r="B105" s="68"/>
      <c r="C105" s="68"/>
      <c r="N105" s="63"/>
      <c r="O105" s="68"/>
      <c r="P105" s="68"/>
      <c r="Q105" s="63"/>
      <c r="R105" s="63"/>
      <c r="S105" s="63"/>
      <c r="T105" s="63"/>
      <c r="U105" s="68"/>
      <c r="V105" s="63"/>
      <c r="W105" s="63"/>
      <c r="X105" s="309"/>
      <c r="Y105" s="63"/>
      <c r="Z105" s="63"/>
      <c r="AA105" s="63"/>
      <c r="AB105" s="63"/>
      <c r="AC105" s="63"/>
      <c r="AD105" s="8"/>
      <c r="AE105" s="142"/>
      <c r="AF105" s="142"/>
      <c r="AG105" s="142"/>
      <c r="AH105" s="142"/>
      <c r="AI105" s="203">
        <v>11</v>
      </c>
    </row>
    <row r="106" spans="1:35" s="203" customFormat="1" ht="11.45" customHeight="1">
      <c r="A106" s="572"/>
      <c r="B106" s="68"/>
      <c r="C106" s="68"/>
      <c r="N106" s="63"/>
      <c r="O106" s="68"/>
      <c r="P106" s="68"/>
      <c r="Q106" s="63"/>
      <c r="R106" s="63"/>
      <c r="S106" s="63"/>
      <c r="T106" s="63"/>
      <c r="U106" s="68"/>
      <c r="V106" s="63"/>
      <c r="W106" s="63"/>
      <c r="X106" s="309"/>
      <c r="Y106" s="63"/>
      <c r="Z106" s="63"/>
      <c r="AA106" s="63"/>
      <c r="AB106" s="63"/>
      <c r="AC106" s="63"/>
      <c r="AD106" s="8"/>
      <c r="AE106" s="142"/>
      <c r="AF106" s="142"/>
      <c r="AG106" s="142"/>
      <c r="AH106" s="142"/>
      <c r="AI106" s="203">
        <v>11</v>
      </c>
    </row>
    <row r="107" spans="1:35" s="203" customFormat="1" ht="11.45" customHeight="1">
      <c r="A107" s="572"/>
      <c r="B107" s="68"/>
      <c r="C107" s="68"/>
      <c r="N107" s="63"/>
      <c r="O107" s="68"/>
      <c r="P107" s="68"/>
      <c r="Q107" s="63"/>
      <c r="R107" s="63"/>
      <c r="S107" s="63"/>
      <c r="T107" s="63"/>
      <c r="U107" s="68"/>
      <c r="V107" s="63"/>
      <c r="W107" s="63"/>
      <c r="X107" s="309"/>
      <c r="Y107" s="63"/>
      <c r="Z107" s="63"/>
      <c r="AA107" s="63"/>
      <c r="AB107" s="63"/>
      <c r="AC107" s="63"/>
      <c r="AD107" s="8"/>
      <c r="AE107" s="142"/>
      <c r="AF107" s="142"/>
      <c r="AG107" s="142"/>
      <c r="AH107" s="142"/>
      <c r="AI107" s="203">
        <v>11</v>
      </c>
    </row>
    <row r="108" spans="1:35" s="203" customFormat="1" ht="11.45" customHeight="1">
      <c r="A108" s="572"/>
      <c r="B108" s="68"/>
      <c r="C108" s="68"/>
      <c r="N108" s="63"/>
      <c r="O108" s="68"/>
      <c r="P108" s="68"/>
      <c r="Q108" s="63"/>
      <c r="R108" s="63"/>
      <c r="S108" s="63"/>
      <c r="T108" s="63"/>
      <c r="U108" s="68"/>
      <c r="V108" s="63"/>
      <c r="W108" s="63"/>
      <c r="X108" s="309"/>
      <c r="Y108" s="63"/>
      <c r="Z108" s="63"/>
      <c r="AA108" s="63"/>
      <c r="AB108" s="63"/>
      <c r="AC108" s="63"/>
      <c r="AD108" s="8"/>
      <c r="AE108" s="142"/>
      <c r="AF108" s="142"/>
      <c r="AG108" s="142"/>
      <c r="AH108" s="142"/>
      <c r="AI108" s="203">
        <v>11</v>
      </c>
    </row>
    <row r="109" spans="1:35" s="203" customFormat="1" ht="11.45" customHeight="1">
      <c r="A109" s="572"/>
      <c r="B109" s="68"/>
      <c r="C109" s="68"/>
      <c r="N109" s="63"/>
      <c r="O109" s="68"/>
      <c r="P109" s="68"/>
      <c r="Q109" s="63"/>
      <c r="R109" s="63"/>
      <c r="S109" s="63"/>
      <c r="T109" s="63"/>
      <c r="U109" s="68"/>
      <c r="V109" s="63"/>
      <c r="W109" s="63"/>
      <c r="X109" s="309"/>
      <c r="Y109" s="63"/>
      <c r="Z109" s="63"/>
      <c r="AA109" s="63"/>
      <c r="AB109" s="63"/>
      <c r="AC109" s="63"/>
      <c r="AD109" s="8"/>
      <c r="AE109" s="142"/>
      <c r="AF109" s="142"/>
      <c r="AG109" s="142"/>
      <c r="AH109" s="142"/>
      <c r="AI109" s="203">
        <v>11</v>
      </c>
    </row>
    <row r="110" spans="1:35" s="203" customFormat="1" ht="11.45" customHeight="1">
      <c r="A110" s="572"/>
      <c r="B110" s="68"/>
      <c r="C110" s="68"/>
      <c r="N110" s="63"/>
      <c r="O110" s="68"/>
      <c r="P110" s="68"/>
      <c r="Q110" s="63"/>
      <c r="R110" s="63"/>
      <c r="S110" s="63"/>
      <c r="T110" s="63"/>
      <c r="U110" s="68"/>
      <c r="V110" s="63"/>
      <c r="W110" s="63"/>
      <c r="X110" s="309"/>
      <c r="Y110" s="63"/>
      <c r="Z110" s="63"/>
      <c r="AA110" s="63"/>
      <c r="AB110" s="63"/>
      <c r="AC110" s="63"/>
      <c r="AD110" s="8"/>
      <c r="AE110" s="142"/>
      <c r="AF110" s="142"/>
      <c r="AG110" s="142"/>
      <c r="AH110" s="142"/>
      <c r="AI110" s="203">
        <v>11</v>
      </c>
    </row>
    <row r="111" spans="1:35" s="203" customFormat="1" ht="11.45" customHeight="1">
      <c r="A111" s="572"/>
      <c r="B111" s="68"/>
      <c r="C111" s="68"/>
      <c r="N111" s="63"/>
      <c r="O111" s="68"/>
      <c r="P111" s="68"/>
      <c r="Q111" s="63"/>
      <c r="R111" s="63"/>
      <c r="S111" s="63"/>
      <c r="T111" s="63"/>
      <c r="U111" s="68"/>
      <c r="V111" s="63"/>
      <c r="W111" s="63"/>
      <c r="X111" s="309"/>
      <c r="Y111" s="63"/>
      <c r="Z111" s="63"/>
      <c r="AA111" s="63"/>
      <c r="AB111" s="63"/>
      <c r="AC111" s="63"/>
      <c r="AD111" s="8"/>
      <c r="AE111" s="142"/>
      <c r="AF111" s="142"/>
      <c r="AG111" s="142"/>
      <c r="AH111" s="142"/>
      <c r="AI111" s="203">
        <v>11</v>
      </c>
    </row>
    <row r="112" spans="1:35" s="203" customFormat="1" ht="11.45" customHeight="1">
      <c r="A112" s="572"/>
      <c r="B112" s="68"/>
      <c r="C112" s="68"/>
      <c r="N112" s="63"/>
      <c r="O112" s="68"/>
      <c r="P112" s="68"/>
      <c r="Q112" s="63"/>
      <c r="R112" s="63"/>
      <c r="S112" s="63"/>
      <c r="T112" s="63"/>
      <c r="U112" s="68"/>
      <c r="V112" s="63"/>
      <c r="W112" s="63"/>
      <c r="X112" s="309"/>
      <c r="Y112" s="63"/>
      <c r="Z112" s="63"/>
      <c r="AA112" s="63"/>
      <c r="AB112" s="63"/>
      <c r="AC112" s="63"/>
      <c r="AD112" s="8"/>
      <c r="AE112" s="142"/>
      <c r="AF112" s="142"/>
      <c r="AG112" s="142"/>
      <c r="AH112" s="142"/>
      <c r="AI112" s="203">
        <v>11</v>
      </c>
    </row>
    <row r="113" spans="1:35" s="203" customFormat="1" ht="11.45" customHeight="1">
      <c r="A113" s="572"/>
      <c r="B113" s="68"/>
      <c r="C113" s="68"/>
      <c r="N113" s="63"/>
      <c r="O113" s="68"/>
      <c r="P113" s="68"/>
      <c r="Q113" s="63"/>
      <c r="R113" s="63"/>
      <c r="S113" s="63"/>
      <c r="T113" s="63"/>
      <c r="U113" s="68"/>
      <c r="V113" s="63"/>
      <c r="W113" s="63"/>
      <c r="X113" s="309"/>
      <c r="Y113" s="63"/>
      <c r="Z113" s="63"/>
      <c r="AA113" s="63"/>
      <c r="AB113" s="63"/>
      <c r="AC113" s="63"/>
      <c r="AD113" s="8"/>
      <c r="AE113" s="142"/>
      <c r="AF113" s="142"/>
      <c r="AG113" s="142"/>
      <c r="AH113" s="142"/>
      <c r="AI113" s="203">
        <v>11</v>
      </c>
    </row>
    <row r="114" spans="1:35" s="203" customFormat="1" ht="11.45" customHeight="1">
      <c r="A114" s="572"/>
      <c r="B114" s="68"/>
      <c r="C114" s="68"/>
      <c r="N114" s="63"/>
      <c r="O114" s="68"/>
      <c r="P114" s="68"/>
      <c r="Q114" s="63"/>
      <c r="R114" s="63"/>
      <c r="S114" s="63"/>
      <c r="T114" s="63"/>
      <c r="U114" s="68"/>
      <c r="V114" s="63"/>
      <c r="W114" s="63"/>
      <c r="X114" s="309"/>
      <c r="Y114" s="63"/>
      <c r="Z114" s="63"/>
      <c r="AA114" s="63"/>
      <c r="AB114" s="63"/>
      <c r="AC114" s="63"/>
      <c r="AD114" s="8"/>
      <c r="AE114" s="142"/>
      <c r="AF114" s="142"/>
      <c r="AG114" s="142"/>
      <c r="AH114" s="142"/>
      <c r="AI114" s="203">
        <v>11</v>
      </c>
    </row>
    <row r="115" spans="1:35" s="203" customFormat="1" ht="11.45" customHeight="1">
      <c r="A115" s="572"/>
      <c r="B115" s="68"/>
      <c r="C115" s="68"/>
      <c r="N115" s="63"/>
      <c r="O115" s="68"/>
      <c r="P115" s="68"/>
      <c r="Q115" s="63"/>
      <c r="R115" s="63"/>
      <c r="S115" s="63"/>
      <c r="T115" s="63"/>
      <c r="U115" s="68"/>
      <c r="V115" s="63"/>
      <c r="W115" s="63"/>
      <c r="X115" s="309"/>
      <c r="Y115" s="63"/>
      <c r="Z115" s="63"/>
      <c r="AA115" s="63"/>
      <c r="AB115" s="63"/>
      <c r="AC115" s="63"/>
      <c r="AD115" s="8"/>
      <c r="AE115" s="142"/>
      <c r="AF115" s="142"/>
      <c r="AG115" s="142"/>
      <c r="AH115" s="142"/>
      <c r="AI115" s="203">
        <v>11</v>
      </c>
    </row>
    <row r="116" spans="1:35" s="203" customFormat="1" ht="11.45" customHeight="1">
      <c r="A116" s="572"/>
      <c r="B116" s="68"/>
      <c r="C116" s="68"/>
      <c r="N116" s="63"/>
      <c r="O116" s="68"/>
      <c r="P116" s="68"/>
      <c r="Q116" s="63"/>
      <c r="R116" s="63"/>
      <c r="S116" s="63"/>
      <c r="T116" s="63"/>
      <c r="U116" s="68"/>
      <c r="V116" s="63"/>
      <c r="W116" s="63"/>
      <c r="X116" s="309"/>
      <c r="Y116" s="63"/>
      <c r="Z116" s="63"/>
      <c r="AA116" s="63"/>
      <c r="AB116" s="63"/>
      <c r="AC116" s="63"/>
      <c r="AD116" s="8"/>
      <c r="AE116" s="142"/>
      <c r="AF116" s="142"/>
      <c r="AG116" s="142"/>
      <c r="AH116" s="142"/>
      <c r="AI116" s="203">
        <v>11</v>
      </c>
    </row>
    <row r="117" spans="1:35" s="203" customFormat="1" ht="11.45" customHeight="1">
      <c r="A117" s="572"/>
      <c r="B117" s="68"/>
      <c r="C117" s="68"/>
      <c r="N117" s="63"/>
      <c r="O117" s="68"/>
      <c r="P117" s="68"/>
      <c r="Q117" s="63"/>
      <c r="R117" s="63"/>
      <c r="S117" s="63"/>
      <c r="T117" s="63"/>
      <c r="U117" s="68"/>
      <c r="V117" s="63"/>
      <c r="W117" s="63"/>
      <c r="X117" s="309"/>
      <c r="Y117" s="63"/>
      <c r="Z117" s="63"/>
      <c r="AA117" s="63"/>
      <c r="AB117" s="63"/>
      <c r="AC117" s="63"/>
      <c r="AD117" s="8"/>
      <c r="AE117" s="142"/>
      <c r="AF117" s="142"/>
      <c r="AG117" s="142"/>
      <c r="AH117" s="142"/>
      <c r="AI117" s="203">
        <v>11</v>
      </c>
    </row>
    <row r="118" spans="1:35" s="203" customFormat="1" ht="11.45" customHeight="1">
      <c r="A118" s="572"/>
      <c r="B118" s="68"/>
      <c r="C118" s="68"/>
      <c r="N118" s="63"/>
      <c r="O118" s="68"/>
      <c r="P118" s="68"/>
      <c r="Q118" s="63"/>
      <c r="R118" s="63"/>
      <c r="S118" s="63"/>
      <c r="T118" s="63"/>
      <c r="U118" s="68"/>
      <c r="V118" s="63"/>
      <c r="W118" s="63"/>
      <c r="X118" s="309"/>
      <c r="Y118" s="63"/>
      <c r="Z118" s="63"/>
      <c r="AA118" s="63"/>
      <c r="AB118" s="63"/>
      <c r="AC118" s="63"/>
      <c r="AD118" s="8"/>
      <c r="AE118" s="142"/>
      <c r="AF118" s="142"/>
      <c r="AG118" s="142"/>
      <c r="AH118" s="142"/>
      <c r="AI118" s="203">
        <v>11</v>
      </c>
    </row>
    <row r="119" spans="1:35" s="203" customFormat="1" ht="11.45" customHeight="1">
      <c r="A119" s="572"/>
      <c r="B119" s="68"/>
      <c r="C119" s="68"/>
      <c r="N119" s="63"/>
      <c r="O119" s="68"/>
      <c r="P119" s="68"/>
      <c r="Q119" s="63"/>
      <c r="R119" s="63"/>
      <c r="S119" s="63"/>
      <c r="T119" s="63"/>
      <c r="U119" s="68"/>
      <c r="V119" s="63"/>
      <c r="W119" s="63"/>
      <c r="X119" s="309"/>
      <c r="Y119" s="63"/>
      <c r="Z119" s="63"/>
      <c r="AA119" s="63"/>
      <c r="AB119" s="63"/>
      <c r="AC119" s="63"/>
      <c r="AD119" s="8"/>
      <c r="AE119" s="142"/>
      <c r="AF119" s="142"/>
      <c r="AG119" s="142"/>
      <c r="AH119" s="142"/>
      <c r="AI119" s="203">
        <v>11</v>
      </c>
    </row>
    <row r="120" spans="1:35" s="203" customFormat="1" ht="11.45" customHeight="1">
      <c r="A120" s="572"/>
      <c r="B120" s="68"/>
      <c r="C120" s="68"/>
      <c r="N120" s="63"/>
      <c r="O120" s="68"/>
      <c r="P120" s="68"/>
      <c r="Q120" s="63"/>
      <c r="R120" s="63"/>
      <c r="S120" s="63"/>
      <c r="T120" s="63"/>
      <c r="U120" s="68"/>
      <c r="V120" s="63"/>
      <c r="W120" s="63"/>
      <c r="X120" s="309"/>
      <c r="Y120" s="63"/>
      <c r="Z120" s="63"/>
      <c r="AA120" s="63"/>
      <c r="AB120" s="63"/>
      <c r="AC120" s="63"/>
      <c r="AD120" s="8"/>
      <c r="AE120" s="142"/>
      <c r="AF120" s="142"/>
      <c r="AG120" s="142"/>
      <c r="AH120" s="142"/>
      <c r="AI120" s="203">
        <v>11</v>
      </c>
    </row>
    <row r="121" spans="1:35" s="203" customFormat="1" ht="11.45" customHeight="1">
      <c r="A121" s="572"/>
      <c r="B121" s="68"/>
      <c r="C121" s="68"/>
      <c r="N121" s="63"/>
      <c r="O121" s="68"/>
      <c r="P121" s="68"/>
      <c r="Q121" s="63"/>
      <c r="R121" s="63"/>
      <c r="S121" s="63"/>
      <c r="T121" s="63"/>
      <c r="U121" s="68"/>
      <c r="V121" s="63"/>
      <c r="W121" s="63"/>
      <c r="X121" s="309"/>
      <c r="Y121" s="63"/>
      <c r="Z121" s="63"/>
      <c r="AA121" s="63"/>
      <c r="AB121" s="63"/>
      <c r="AC121" s="63"/>
      <c r="AD121" s="8"/>
      <c r="AE121" s="142"/>
      <c r="AF121" s="142"/>
      <c r="AG121" s="142"/>
      <c r="AH121" s="142"/>
      <c r="AI121" s="203">
        <v>11</v>
      </c>
    </row>
    <row r="122" spans="1:35" s="203" customFormat="1" ht="11.45" customHeight="1">
      <c r="A122" s="572"/>
      <c r="B122" s="68"/>
      <c r="C122" s="68"/>
      <c r="N122" s="63"/>
      <c r="O122" s="68"/>
      <c r="P122" s="68"/>
      <c r="Q122" s="63"/>
      <c r="R122" s="63"/>
      <c r="S122" s="63"/>
      <c r="T122" s="63"/>
      <c r="U122" s="68"/>
      <c r="V122" s="63"/>
      <c r="W122" s="63"/>
      <c r="X122" s="309"/>
      <c r="Y122" s="63"/>
      <c r="Z122" s="63"/>
      <c r="AA122" s="63"/>
      <c r="AB122" s="63"/>
      <c r="AC122" s="63"/>
      <c r="AD122" s="8"/>
      <c r="AE122" s="142"/>
      <c r="AF122" s="142"/>
      <c r="AG122" s="142"/>
      <c r="AH122" s="142"/>
      <c r="AI122" s="203">
        <v>11</v>
      </c>
    </row>
    <row r="123" spans="1:35" s="203" customFormat="1" ht="11.45" customHeight="1">
      <c r="A123" s="572"/>
      <c r="B123" s="68"/>
      <c r="C123" s="68"/>
      <c r="N123" s="63"/>
      <c r="O123" s="68"/>
      <c r="P123" s="68"/>
      <c r="Q123" s="63"/>
      <c r="R123" s="63"/>
      <c r="S123" s="63"/>
      <c r="T123" s="63"/>
      <c r="U123" s="68"/>
      <c r="V123" s="63"/>
      <c r="W123" s="63"/>
      <c r="X123" s="309"/>
      <c r="Y123" s="63"/>
      <c r="Z123" s="63"/>
      <c r="AA123" s="63"/>
      <c r="AB123" s="63"/>
      <c r="AC123" s="63"/>
      <c r="AD123" s="8"/>
      <c r="AE123" s="142"/>
      <c r="AF123" s="142"/>
      <c r="AG123" s="142"/>
      <c r="AH123" s="142"/>
      <c r="AI123" s="203">
        <v>11</v>
      </c>
    </row>
    <row r="124" spans="1:35" s="203" customFormat="1" ht="11.45" customHeight="1">
      <c r="A124" s="572"/>
      <c r="B124" s="68"/>
      <c r="C124" s="68"/>
      <c r="N124" s="63"/>
      <c r="O124" s="68"/>
      <c r="P124" s="68"/>
      <c r="Q124" s="63"/>
      <c r="R124" s="63"/>
      <c r="S124" s="63"/>
      <c r="T124" s="63"/>
      <c r="U124" s="68"/>
      <c r="V124" s="63"/>
      <c r="W124" s="63"/>
      <c r="X124" s="309"/>
      <c r="Y124" s="63"/>
      <c r="Z124" s="63"/>
      <c r="AA124" s="63"/>
      <c r="AB124" s="63"/>
      <c r="AC124" s="63"/>
      <c r="AD124" s="8"/>
      <c r="AE124" s="142"/>
      <c r="AF124" s="142"/>
      <c r="AG124" s="142"/>
      <c r="AH124" s="142"/>
      <c r="AI124" s="203">
        <v>11</v>
      </c>
    </row>
    <row r="125" spans="1:35" s="203" customFormat="1" ht="11.45" customHeight="1">
      <c r="A125" s="572"/>
      <c r="B125" s="68"/>
      <c r="C125" s="68"/>
      <c r="N125" s="63"/>
      <c r="O125" s="68"/>
      <c r="P125" s="68"/>
      <c r="Q125" s="63"/>
      <c r="R125" s="63"/>
      <c r="S125" s="63"/>
      <c r="T125" s="63"/>
      <c r="U125" s="68"/>
      <c r="V125" s="63"/>
      <c r="W125" s="63"/>
      <c r="X125" s="309"/>
      <c r="Y125" s="63"/>
      <c r="Z125" s="63"/>
      <c r="AA125" s="63"/>
      <c r="AB125" s="63"/>
      <c r="AC125" s="63"/>
      <c r="AD125" s="8"/>
      <c r="AE125" s="142"/>
      <c r="AF125" s="142"/>
      <c r="AG125" s="142"/>
      <c r="AH125" s="142"/>
      <c r="AI125" s="203">
        <v>11</v>
      </c>
    </row>
    <row r="126" spans="1:35" s="203" customFormat="1" ht="11.45" customHeight="1">
      <c r="A126" s="572"/>
      <c r="B126" s="68"/>
      <c r="C126" s="68"/>
      <c r="N126" s="63"/>
      <c r="O126" s="68"/>
      <c r="P126" s="68"/>
      <c r="Q126" s="63"/>
      <c r="R126" s="63"/>
      <c r="S126" s="63"/>
      <c r="T126" s="63"/>
      <c r="U126" s="68"/>
      <c r="V126" s="63"/>
      <c r="W126" s="63"/>
      <c r="X126" s="309"/>
      <c r="Y126" s="63"/>
      <c r="Z126" s="63"/>
      <c r="AA126" s="63"/>
      <c r="AB126" s="63"/>
      <c r="AC126" s="63"/>
      <c r="AD126" s="8"/>
      <c r="AE126" s="142"/>
      <c r="AF126" s="142"/>
      <c r="AG126" s="142"/>
      <c r="AH126" s="142"/>
      <c r="AI126" s="203">
        <v>11</v>
      </c>
    </row>
    <row r="127" spans="1:35" s="203" customFormat="1" ht="11.45" customHeight="1">
      <c r="A127" s="572"/>
      <c r="B127" s="68"/>
      <c r="C127" s="68"/>
      <c r="N127" s="63"/>
      <c r="O127" s="68"/>
      <c r="P127" s="68"/>
      <c r="Q127" s="63"/>
      <c r="R127" s="63"/>
      <c r="S127" s="63"/>
      <c r="T127" s="63"/>
      <c r="U127" s="68"/>
      <c r="V127" s="63"/>
      <c r="W127" s="63"/>
      <c r="X127" s="309"/>
      <c r="Y127" s="63"/>
      <c r="Z127" s="63"/>
      <c r="AA127" s="63"/>
      <c r="AB127" s="63"/>
      <c r="AC127" s="63"/>
      <c r="AD127" s="8"/>
      <c r="AE127" s="142"/>
      <c r="AF127" s="142"/>
      <c r="AG127" s="142"/>
      <c r="AH127" s="142"/>
      <c r="AI127" s="203">
        <v>11</v>
      </c>
    </row>
    <row r="128" spans="1:35" s="203" customFormat="1" ht="11.45" customHeight="1">
      <c r="A128" s="572"/>
      <c r="B128" s="68"/>
      <c r="C128" s="68"/>
      <c r="N128" s="63"/>
      <c r="O128" s="68"/>
      <c r="P128" s="68"/>
      <c r="Q128" s="63"/>
      <c r="R128" s="63"/>
      <c r="S128" s="63"/>
      <c r="T128" s="63"/>
      <c r="U128" s="68"/>
      <c r="V128" s="63"/>
      <c r="W128" s="63"/>
      <c r="X128" s="309"/>
      <c r="Y128" s="63"/>
      <c r="Z128" s="63"/>
      <c r="AA128" s="63"/>
      <c r="AB128" s="63"/>
      <c r="AC128" s="63"/>
      <c r="AD128" s="8"/>
      <c r="AE128" s="142"/>
      <c r="AF128" s="142"/>
      <c r="AG128" s="142"/>
      <c r="AH128" s="142"/>
      <c r="AI128" s="203">
        <v>11</v>
      </c>
    </row>
    <row r="129" spans="1:35" s="203" customFormat="1" ht="11.45" customHeight="1">
      <c r="A129" s="572"/>
      <c r="B129" s="68"/>
      <c r="C129" s="68"/>
      <c r="N129" s="63"/>
      <c r="O129" s="68"/>
      <c r="P129" s="68"/>
      <c r="Q129" s="63"/>
      <c r="R129" s="63"/>
      <c r="S129" s="63"/>
      <c r="T129" s="63"/>
      <c r="U129" s="68"/>
      <c r="V129" s="63"/>
      <c r="W129" s="63"/>
      <c r="X129" s="309"/>
      <c r="Y129" s="63"/>
      <c r="Z129" s="63"/>
      <c r="AA129" s="63"/>
      <c r="AB129" s="63"/>
      <c r="AC129" s="63"/>
      <c r="AD129" s="8"/>
      <c r="AE129" s="142"/>
      <c r="AF129" s="142"/>
      <c r="AG129" s="142"/>
      <c r="AH129" s="142"/>
      <c r="AI129" s="203">
        <v>11</v>
      </c>
    </row>
    <row r="130" spans="1:35" s="203" customFormat="1" ht="11.45" customHeight="1">
      <c r="A130" s="572"/>
      <c r="B130" s="68"/>
      <c r="C130" s="68"/>
      <c r="N130" s="63"/>
      <c r="O130" s="68"/>
      <c r="P130" s="68"/>
      <c r="Q130" s="63"/>
      <c r="R130" s="63"/>
      <c r="S130" s="63"/>
      <c r="T130" s="63"/>
      <c r="U130" s="68"/>
      <c r="V130" s="63"/>
      <c r="W130" s="63"/>
      <c r="X130" s="309"/>
      <c r="Y130" s="63"/>
      <c r="Z130" s="63"/>
      <c r="AA130" s="63"/>
      <c r="AB130" s="63"/>
      <c r="AC130" s="63"/>
      <c r="AD130" s="8"/>
      <c r="AE130" s="142"/>
      <c r="AF130" s="142"/>
      <c r="AG130" s="142"/>
      <c r="AH130" s="142"/>
      <c r="AI130" s="203">
        <v>11</v>
      </c>
    </row>
    <row r="131" spans="1:35" s="203" customFormat="1" ht="11.45" customHeight="1">
      <c r="A131" s="572"/>
      <c r="B131" s="68"/>
      <c r="C131" s="68"/>
      <c r="N131" s="63"/>
      <c r="O131" s="68"/>
      <c r="P131" s="68"/>
      <c r="Q131" s="63"/>
      <c r="R131" s="63"/>
      <c r="S131" s="63"/>
      <c r="T131" s="63"/>
      <c r="U131" s="68"/>
      <c r="V131" s="63"/>
      <c r="W131" s="63"/>
      <c r="X131" s="309"/>
      <c r="Y131" s="63"/>
      <c r="Z131" s="63"/>
      <c r="AA131" s="63"/>
      <c r="AB131" s="63"/>
      <c r="AC131" s="63"/>
      <c r="AD131" s="8"/>
      <c r="AE131" s="142"/>
      <c r="AF131" s="142"/>
      <c r="AG131" s="142"/>
      <c r="AH131" s="142"/>
      <c r="AI131" s="203">
        <v>11</v>
      </c>
    </row>
    <row r="132" spans="1:35" s="203" customFormat="1" ht="11.45" customHeight="1">
      <c r="A132" s="572"/>
      <c r="B132" s="68"/>
      <c r="C132" s="68"/>
      <c r="N132" s="63"/>
      <c r="O132" s="68"/>
      <c r="P132" s="68"/>
      <c r="Q132" s="63"/>
      <c r="R132" s="63"/>
      <c r="S132" s="63"/>
      <c r="T132" s="63"/>
      <c r="U132" s="68"/>
      <c r="V132" s="63"/>
      <c r="W132" s="63"/>
      <c r="X132" s="309"/>
      <c r="Y132" s="63"/>
      <c r="Z132" s="63"/>
      <c r="AA132" s="63"/>
      <c r="AB132" s="63"/>
      <c r="AC132" s="63"/>
      <c r="AD132" s="8"/>
      <c r="AE132" s="142"/>
      <c r="AF132" s="142"/>
      <c r="AG132" s="142"/>
      <c r="AH132" s="142"/>
      <c r="AI132" s="203">
        <v>11</v>
      </c>
    </row>
    <row r="133" spans="1:35" s="203" customFormat="1" ht="11.45" customHeight="1">
      <c r="A133" s="572"/>
      <c r="B133" s="68"/>
      <c r="C133" s="68"/>
      <c r="N133" s="63"/>
      <c r="O133" s="68"/>
      <c r="P133" s="68"/>
      <c r="Q133" s="63"/>
      <c r="R133" s="63"/>
      <c r="S133" s="63"/>
      <c r="T133" s="63"/>
      <c r="U133" s="68"/>
      <c r="V133" s="63"/>
      <c r="W133" s="63"/>
      <c r="X133" s="309"/>
      <c r="Y133" s="63"/>
      <c r="Z133" s="63"/>
      <c r="AA133" s="63"/>
      <c r="AB133" s="63"/>
      <c r="AC133" s="63"/>
      <c r="AD133" s="8"/>
      <c r="AE133" s="142"/>
      <c r="AF133" s="142"/>
      <c r="AG133" s="142"/>
      <c r="AH133" s="142"/>
      <c r="AI133" s="203">
        <v>11</v>
      </c>
    </row>
    <row r="134" spans="1:35" s="203" customFormat="1" ht="11.45" customHeight="1">
      <c r="A134" s="572"/>
      <c r="B134" s="68"/>
      <c r="C134" s="68"/>
      <c r="N134" s="63"/>
      <c r="O134" s="68"/>
      <c r="P134" s="68"/>
      <c r="Q134" s="63"/>
      <c r="R134" s="63"/>
      <c r="S134" s="63"/>
      <c r="T134" s="63"/>
      <c r="U134" s="68"/>
      <c r="V134" s="63"/>
      <c r="W134" s="63"/>
      <c r="X134" s="309"/>
      <c r="Y134" s="63"/>
      <c r="Z134" s="63"/>
      <c r="AA134" s="63"/>
      <c r="AB134" s="63"/>
      <c r="AC134" s="63"/>
      <c r="AD134" s="8"/>
      <c r="AE134" s="142"/>
      <c r="AF134" s="142"/>
      <c r="AG134" s="142"/>
      <c r="AH134" s="142"/>
      <c r="AI134" s="203">
        <v>11</v>
      </c>
    </row>
    <row r="135" spans="1:35" s="203" customFormat="1" ht="11.45" customHeight="1">
      <c r="A135" s="572"/>
      <c r="B135" s="68"/>
      <c r="C135" s="68"/>
      <c r="N135" s="63"/>
      <c r="O135" s="68"/>
      <c r="P135" s="68"/>
      <c r="Q135" s="63"/>
      <c r="R135" s="63"/>
      <c r="S135" s="63"/>
      <c r="T135" s="63"/>
      <c r="U135" s="68"/>
      <c r="V135" s="63"/>
      <c r="W135" s="63"/>
      <c r="X135" s="309"/>
      <c r="Y135" s="63"/>
      <c r="Z135" s="63"/>
      <c r="AA135" s="63"/>
      <c r="AB135" s="63"/>
      <c r="AC135" s="63"/>
      <c r="AD135" s="8"/>
      <c r="AE135" s="142"/>
      <c r="AF135" s="142"/>
      <c r="AG135" s="142"/>
      <c r="AH135" s="142"/>
      <c r="AI135" s="203">
        <v>11</v>
      </c>
    </row>
    <row r="136" spans="1:35" s="203" customFormat="1" ht="11.45" customHeight="1">
      <c r="A136" s="572"/>
      <c r="B136" s="68"/>
      <c r="C136" s="68"/>
      <c r="N136" s="63"/>
      <c r="O136" s="68"/>
      <c r="P136" s="68"/>
      <c r="Q136" s="63"/>
      <c r="R136" s="63"/>
      <c r="S136" s="63"/>
      <c r="T136" s="63"/>
      <c r="U136" s="68"/>
      <c r="V136" s="63"/>
      <c r="W136" s="63"/>
      <c r="X136" s="309"/>
      <c r="Y136" s="63"/>
      <c r="Z136" s="63"/>
      <c r="AA136" s="63"/>
      <c r="AB136" s="63"/>
      <c r="AC136" s="63"/>
      <c r="AD136" s="8"/>
      <c r="AE136" s="142"/>
      <c r="AF136" s="142"/>
      <c r="AG136" s="142"/>
      <c r="AH136" s="142"/>
      <c r="AI136" s="203">
        <v>11</v>
      </c>
    </row>
    <row r="137" spans="1:35" s="203" customFormat="1" ht="11.45" customHeight="1">
      <c r="A137" s="572"/>
      <c r="B137" s="68"/>
      <c r="C137" s="68"/>
      <c r="N137" s="63"/>
      <c r="O137" s="68"/>
      <c r="P137" s="68"/>
      <c r="Q137" s="63"/>
      <c r="R137" s="63"/>
      <c r="S137" s="63"/>
      <c r="T137" s="63"/>
      <c r="U137" s="68"/>
      <c r="V137" s="63"/>
      <c r="W137" s="63"/>
      <c r="X137" s="309"/>
      <c r="Y137" s="63"/>
      <c r="Z137" s="63"/>
      <c r="AA137" s="63"/>
      <c r="AB137" s="63"/>
      <c r="AC137" s="63"/>
      <c r="AD137" s="8"/>
      <c r="AE137" s="142"/>
      <c r="AF137" s="142"/>
      <c r="AG137" s="142"/>
      <c r="AH137" s="142"/>
      <c r="AI137" s="203">
        <v>11</v>
      </c>
    </row>
    <row r="138" spans="1:35" s="203" customFormat="1" ht="11.45" customHeight="1">
      <c r="A138" s="572"/>
      <c r="B138" s="68"/>
      <c r="C138" s="68"/>
      <c r="N138" s="63"/>
      <c r="O138" s="68"/>
      <c r="P138" s="68"/>
      <c r="Q138" s="63"/>
      <c r="R138" s="63"/>
      <c r="S138" s="63"/>
      <c r="T138" s="63"/>
      <c r="U138" s="68"/>
      <c r="V138" s="63"/>
      <c r="W138" s="63"/>
      <c r="X138" s="309"/>
      <c r="Y138" s="63"/>
      <c r="Z138" s="63"/>
      <c r="AA138" s="63"/>
      <c r="AB138" s="63"/>
      <c r="AC138" s="63"/>
      <c r="AD138" s="8"/>
      <c r="AE138" s="142"/>
      <c r="AF138" s="142"/>
      <c r="AG138" s="142"/>
      <c r="AH138" s="142"/>
      <c r="AI138" s="203">
        <v>11</v>
      </c>
    </row>
    <row r="139" spans="1:35" s="203" customFormat="1" ht="11.45" customHeight="1">
      <c r="A139" s="572"/>
      <c r="B139" s="68"/>
      <c r="C139" s="68"/>
      <c r="N139" s="63"/>
      <c r="O139" s="68"/>
      <c r="P139" s="68"/>
      <c r="Q139" s="63"/>
      <c r="R139" s="63"/>
      <c r="S139" s="63"/>
      <c r="T139" s="63"/>
      <c r="U139" s="68"/>
      <c r="V139" s="63"/>
      <c r="W139" s="63"/>
      <c r="X139" s="309"/>
      <c r="Y139" s="63"/>
      <c r="Z139" s="63"/>
      <c r="AA139" s="63"/>
      <c r="AB139" s="63"/>
      <c r="AC139" s="63"/>
      <c r="AD139" s="8"/>
      <c r="AE139" s="142"/>
      <c r="AF139" s="142"/>
      <c r="AG139" s="142"/>
      <c r="AH139" s="142"/>
      <c r="AI139" s="203">
        <v>11</v>
      </c>
    </row>
    <row r="140" spans="1:35" s="203" customFormat="1" ht="11.45" customHeight="1">
      <c r="A140" s="572"/>
      <c r="B140" s="68"/>
      <c r="C140" s="68"/>
      <c r="N140" s="63"/>
      <c r="O140" s="68"/>
      <c r="P140" s="68"/>
      <c r="Q140" s="63"/>
      <c r="R140" s="63"/>
      <c r="S140" s="63"/>
      <c r="T140" s="63"/>
      <c r="U140" s="68"/>
      <c r="V140" s="63"/>
      <c r="W140" s="63"/>
      <c r="X140" s="309"/>
      <c r="Y140" s="63"/>
      <c r="Z140" s="63"/>
      <c r="AA140" s="63"/>
      <c r="AB140" s="63"/>
      <c r="AC140" s="63"/>
      <c r="AD140" s="8"/>
      <c r="AE140" s="142"/>
      <c r="AF140" s="142"/>
      <c r="AG140" s="142"/>
      <c r="AH140" s="142"/>
      <c r="AI140" s="203">
        <v>11</v>
      </c>
    </row>
    <row r="141" spans="1:35" s="203" customFormat="1" ht="11.45" customHeight="1">
      <c r="A141" s="572"/>
      <c r="B141" s="68"/>
      <c r="C141" s="68"/>
      <c r="N141" s="63"/>
      <c r="O141" s="68"/>
      <c r="P141" s="68"/>
      <c r="Q141" s="63"/>
      <c r="R141" s="63"/>
      <c r="S141" s="63"/>
      <c r="T141" s="63"/>
      <c r="U141" s="68"/>
      <c r="V141" s="63"/>
      <c r="W141" s="63"/>
      <c r="X141" s="309"/>
      <c r="Y141" s="63"/>
      <c r="Z141" s="63"/>
      <c r="AA141" s="63"/>
      <c r="AB141" s="63"/>
      <c r="AC141" s="63"/>
      <c r="AD141" s="8"/>
      <c r="AE141" s="142"/>
      <c r="AF141" s="142"/>
      <c r="AG141" s="142"/>
      <c r="AH141" s="142"/>
      <c r="AI141" s="203">
        <v>11</v>
      </c>
    </row>
    <row r="142" spans="1:35" s="203" customFormat="1" ht="11.45" customHeight="1">
      <c r="A142" s="572"/>
      <c r="B142" s="68"/>
      <c r="C142" s="68"/>
      <c r="N142" s="63"/>
      <c r="O142" s="68"/>
      <c r="P142" s="68"/>
      <c r="Q142" s="63"/>
      <c r="R142" s="63"/>
      <c r="S142" s="63"/>
      <c r="T142" s="63"/>
      <c r="U142" s="68"/>
      <c r="V142" s="63"/>
      <c r="W142" s="63"/>
      <c r="X142" s="309"/>
      <c r="Y142" s="63"/>
      <c r="Z142" s="63"/>
      <c r="AA142" s="63"/>
      <c r="AB142" s="63"/>
      <c r="AC142" s="63"/>
      <c r="AD142" s="8"/>
      <c r="AE142" s="142"/>
      <c r="AF142" s="142"/>
      <c r="AG142" s="142"/>
      <c r="AH142" s="142"/>
      <c r="AI142" s="203">
        <v>11</v>
      </c>
    </row>
    <row r="143" spans="1:35" s="203" customFormat="1" ht="11.45" customHeight="1">
      <c r="A143" s="572"/>
      <c r="B143" s="68"/>
      <c r="C143" s="68"/>
      <c r="N143" s="63"/>
      <c r="O143" s="68"/>
      <c r="P143" s="68"/>
      <c r="Q143" s="63"/>
      <c r="R143" s="63"/>
      <c r="S143" s="63"/>
      <c r="T143" s="63"/>
      <c r="U143" s="68"/>
      <c r="V143" s="63"/>
      <c r="W143" s="63"/>
      <c r="X143" s="309"/>
      <c r="Y143" s="63"/>
      <c r="Z143" s="63"/>
      <c r="AA143" s="63"/>
      <c r="AB143" s="63"/>
      <c r="AC143" s="63"/>
      <c r="AD143" s="8"/>
      <c r="AE143" s="142"/>
      <c r="AF143" s="142"/>
      <c r="AG143" s="142"/>
      <c r="AH143" s="142"/>
      <c r="AI143" s="203">
        <v>11</v>
      </c>
    </row>
    <row r="144" spans="1:35" s="203" customFormat="1" ht="11.45" customHeight="1">
      <c r="A144" s="572"/>
      <c r="B144" s="68"/>
      <c r="C144" s="68"/>
      <c r="N144" s="63"/>
      <c r="O144" s="68"/>
      <c r="P144" s="68"/>
      <c r="Q144" s="63"/>
      <c r="R144" s="63"/>
      <c r="S144" s="63"/>
      <c r="T144" s="63"/>
      <c r="U144" s="68"/>
      <c r="V144" s="63"/>
      <c r="W144" s="63"/>
      <c r="X144" s="309"/>
      <c r="Y144" s="63"/>
      <c r="Z144" s="63"/>
      <c r="AA144" s="63"/>
      <c r="AB144" s="63"/>
      <c r="AC144" s="63"/>
      <c r="AD144" s="8"/>
      <c r="AE144" s="142"/>
      <c r="AF144" s="142"/>
      <c r="AG144" s="142"/>
      <c r="AH144" s="142"/>
      <c r="AI144" s="203">
        <v>11</v>
      </c>
    </row>
    <row r="145" spans="1:35" s="203" customFormat="1" ht="11.45" customHeight="1">
      <c r="A145" s="572"/>
      <c r="B145" s="68"/>
      <c r="C145" s="68"/>
      <c r="N145" s="63"/>
      <c r="O145" s="68"/>
      <c r="P145" s="68"/>
      <c r="Q145" s="63"/>
      <c r="R145" s="63"/>
      <c r="S145" s="63"/>
      <c r="T145" s="63"/>
      <c r="U145" s="68"/>
      <c r="V145" s="63"/>
      <c r="W145" s="63"/>
      <c r="X145" s="309"/>
      <c r="Y145" s="63"/>
      <c r="Z145" s="63"/>
      <c r="AA145" s="63"/>
      <c r="AB145" s="63"/>
      <c r="AC145" s="63"/>
      <c r="AD145" s="8"/>
      <c r="AE145" s="142"/>
      <c r="AF145" s="142"/>
      <c r="AG145" s="142"/>
      <c r="AH145" s="142"/>
      <c r="AI145" s="203">
        <v>11</v>
      </c>
    </row>
    <row r="146" spans="1:35" s="203" customFormat="1" ht="11.45" customHeight="1">
      <c r="A146" s="572"/>
      <c r="B146" s="68"/>
      <c r="C146" s="68"/>
      <c r="N146" s="63"/>
      <c r="O146" s="68"/>
      <c r="P146" s="68"/>
      <c r="Q146" s="63"/>
      <c r="R146" s="63"/>
      <c r="S146" s="63"/>
      <c r="T146" s="63"/>
      <c r="U146" s="68"/>
      <c r="V146" s="63"/>
      <c r="W146" s="63"/>
      <c r="X146" s="309"/>
      <c r="Y146" s="63"/>
      <c r="Z146" s="63"/>
      <c r="AA146" s="63"/>
      <c r="AB146" s="63"/>
      <c r="AC146" s="63"/>
      <c r="AD146" s="8"/>
      <c r="AE146" s="142"/>
      <c r="AF146" s="142"/>
      <c r="AG146" s="142"/>
      <c r="AH146" s="142"/>
      <c r="AI146" s="203">
        <v>11</v>
      </c>
    </row>
    <row r="147" spans="1:35" s="203" customFormat="1" ht="11.45" customHeight="1">
      <c r="A147" s="572"/>
      <c r="B147" s="68"/>
      <c r="C147" s="68"/>
      <c r="N147" s="63"/>
      <c r="O147" s="68"/>
      <c r="P147" s="68"/>
      <c r="Q147" s="63"/>
      <c r="R147" s="63"/>
      <c r="S147" s="63"/>
      <c r="T147" s="63"/>
      <c r="U147" s="68"/>
      <c r="V147" s="63"/>
      <c r="W147" s="63"/>
      <c r="X147" s="309"/>
      <c r="Y147" s="63"/>
      <c r="Z147" s="63"/>
      <c r="AA147" s="63"/>
      <c r="AB147" s="63"/>
      <c r="AC147" s="63"/>
      <c r="AD147" s="8"/>
      <c r="AE147" s="142"/>
      <c r="AF147" s="142"/>
      <c r="AG147" s="142"/>
      <c r="AH147" s="142"/>
      <c r="AI147" s="203">
        <v>11</v>
      </c>
    </row>
    <row r="148" spans="1:35" s="203" customFormat="1" ht="11.45" customHeight="1">
      <c r="A148" s="572"/>
      <c r="B148" s="68"/>
      <c r="C148" s="68"/>
      <c r="N148" s="63"/>
      <c r="O148" s="68"/>
      <c r="P148" s="68"/>
      <c r="Q148" s="63"/>
      <c r="R148" s="63"/>
      <c r="S148" s="63"/>
      <c r="T148" s="63"/>
      <c r="U148" s="68"/>
      <c r="V148" s="63"/>
      <c r="W148" s="63"/>
      <c r="X148" s="309"/>
      <c r="Y148" s="63"/>
      <c r="Z148" s="63"/>
      <c r="AA148" s="63"/>
      <c r="AB148" s="63"/>
      <c r="AC148" s="63"/>
      <c r="AD148" s="8"/>
      <c r="AE148" s="142"/>
      <c r="AF148" s="142"/>
      <c r="AG148" s="142"/>
      <c r="AH148" s="142"/>
      <c r="AI148" s="203">
        <v>11</v>
      </c>
    </row>
    <row r="149" spans="1:35" s="203" customFormat="1" ht="11.45" customHeight="1">
      <c r="A149" s="572"/>
      <c r="B149" s="68"/>
      <c r="C149" s="68"/>
      <c r="N149" s="63"/>
      <c r="O149" s="68"/>
      <c r="P149" s="68"/>
      <c r="Q149" s="63"/>
      <c r="R149" s="63"/>
      <c r="S149" s="63"/>
      <c r="T149" s="63"/>
      <c r="U149" s="68"/>
      <c r="V149" s="63"/>
      <c r="W149" s="63"/>
      <c r="X149" s="309"/>
      <c r="Y149" s="63"/>
      <c r="Z149" s="63"/>
      <c r="AA149" s="63"/>
      <c r="AB149" s="63"/>
      <c r="AC149" s="63"/>
      <c r="AD149" s="8"/>
      <c r="AE149" s="142"/>
      <c r="AF149" s="142"/>
      <c r="AG149" s="142"/>
      <c r="AH149" s="142"/>
      <c r="AI149" s="203">
        <v>11</v>
      </c>
    </row>
    <row r="150" spans="1:35" s="203" customFormat="1" ht="11.45" customHeight="1">
      <c r="A150" s="572"/>
      <c r="B150" s="68"/>
      <c r="C150" s="68"/>
      <c r="N150" s="63"/>
      <c r="O150" s="68"/>
      <c r="P150" s="68"/>
      <c r="Q150" s="63"/>
      <c r="R150" s="63"/>
      <c r="S150" s="63"/>
      <c r="T150" s="63"/>
      <c r="U150" s="68"/>
      <c r="V150" s="63"/>
      <c r="W150" s="63"/>
      <c r="X150" s="309"/>
      <c r="Y150" s="63"/>
      <c r="Z150" s="63"/>
      <c r="AA150" s="63"/>
      <c r="AB150" s="63"/>
      <c r="AC150" s="63"/>
      <c r="AD150" s="8"/>
      <c r="AE150" s="142"/>
      <c r="AF150" s="142"/>
      <c r="AG150" s="142"/>
      <c r="AH150" s="142"/>
      <c r="AI150" s="203">
        <v>11</v>
      </c>
    </row>
    <row r="151" spans="1:35" s="203" customFormat="1" ht="11.45" customHeight="1">
      <c r="A151" s="572"/>
      <c r="B151" s="68"/>
      <c r="C151" s="68"/>
      <c r="N151" s="63"/>
      <c r="O151" s="68"/>
      <c r="P151" s="68"/>
      <c r="Q151" s="63"/>
      <c r="R151" s="63"/>
      <c r="S151" s="63"/>
      <c r="T151" s="63"/>
      <c r="U151" s="68"/>
      <c r="V151" s="63"/>
      <c r="W151" s="63"/>
      <c r="X151" s="309"/>
      <c r="Y151" s="63"/>
      <c r="Z151" s="63"/>
      <c r="AA151" s="63"/>
      <c r="AB151" s="63"/>
      <c r="AC151" s="63"/>
      <c r="AD151" s="8"/>
      <c r="AE151" s="142"/>
      <c r="AF151" s="142"/>
      <c r="AG151" s="142"/>
      <c r="AH151" s="142"/>
      <c r="AI151" s="203">
        <v>11</v>
      </c>
    </row>
    <row r="152" spans="1:35" s="203" customFormat="1" ht="11.45" customHeight="1">
      <c r="A152" s="572"/>
      <c r="B152" s="68"/>
      <c r="C152" s="68"/>
      <c r="N152" s="63"/>
      <c r="O152" s="68"/>
      <c r="P152" s="68"/>
      <c r="Q152" s="63"/>
      <c r="R152" s="63"/>
      <c r="S152" s="63"/>
      <c r="T152" s="63"/>
      <c r="U152" s="68"/>
      <c r="V152" s="63"/>
      <c r="W152" s="63"/>
      <c r="X152" s="309"/>
      <c r="Y152" s="63"/>
      <c r="Z152" s="63"/>
      <c r="AA152" s="63"/>
      <c r="AB152" s="63"/>
      <c r="AC152" s="63"/>
      <c r="AD152" s="8"/>
      <c r="AE152" s="142"/>
      <c r="AF152" s="142"/>
      <c r="AG152" s="142"/>
      <c r="AH152" s="142"/>
      <c r="AI152" s="203">
        <v>11</v>
      </c>
    </row>
    <row r="153" spans="1:35" s="203" customFormat="1" ht="11.45" customHeight="1">
      <c r="A153" s="572"/>
      <c r="B153" s="68"/>
      <c r="C153" s="68"/>
      <c r="N153" s="63"/>
      <c r="O153" s="68"/>
      <c r="P153" s="68"/>
      <c r="Q153" s="63"/>
      <c r="R153" s="63"/>
      <c r="S153" s="63"/>
      <c r="T153" s="63"/>
      <c r="U153" s="68"/>
      <c r="V153" s="63"/>
      <c r="W153" s="63"/>
      <c r="X153" s="309"/>
      <c r="Y153" s="63"/>
      <c r="Z153" s="63"/>
      <c r="AA153" s="63"/>
      <c r="AB153" s="63"/>
      <c r="AC153" s="63"/>
      <c r="AD153" s="8"/>
      <c r="AE153" s="142"/>
      <c r="AF153" s="142"/>
      <c r="AG153" s="142"/>
      <c r="AH153" s="142"/>
      <c r="AI153" s="203">
        <v>11</v>
      </c>
    </row>
    <row r="154" spans="1:35" s="203" customFormat="1" ht="11.45" customHeight="1">
      <c r="A154" s="572"/>
      <c r="B154" s="68"/>
      <c r="C154" s="68"/>
      <c r="N154" s="63"/>
      <c r="O154" s="68"/>
      <c r="P154" s="68"/>
      <c r="Q154" s="63"/>
      <c r="R154" s="63"/>
      <c r="S154" s="63"/>
      <c r="T154" s="63"/>
      <c r="U154" s="68"/>
      <c r="V154" s="63"/>
      <c r="W154" s="63"/>
      <c r="X154" s="309"/>
      <c r="Y154" s="63"/>
      <c r="Z154" s="63"/>
      <c r="AA154" s="63"/>
      <c r="AB154" s="63"/>
      <c r="AC154" s="63"/>
      <c r="AD154" s="8"/>
      <c r="AE154" s="142"/>
      <c r="AF154" s="142"/>
      <c r="AG154" s="142"/>
      <c r="AH154" s="142"/>
      <c r="AI154" s="203">
        <v>11</v>
      </c>
    </row>
    <row r="155" spans="1:35" s="203" customFormat="1" ht="11.45" customHeight="1">
      <c r="A155" s="572"/>
      <c r="B155" s="68"/>
      <c r="C155" s="68"/>
      <c r="N155" s="63"/>
      <c r="O155" s="68"/>
      <c r="P155" s="68"/>
      <c r="Q155" s="63"/>
      <c r="R155" s="63"/>
      <c r="S155" s="63"/>
      <c r="T155" s="63"/>
      <c r="U155" s="68"/>
      <c r="V155" s="63"/>
      <c r="W155" s="63"/>
      <c r="X155" s="309"/>
      <c r="Y155" s="63"/>
      <c r="Z155" s="63"/>
      <c r="AA155" s="63"/>
      <c r="AB155" s="63"/>
      <c r="AC155" s="63"/>
      <c r="AD155" s="8"/>
      <c r="AE155" s="142"/>
      <c r="AF155" s="142"/>
      <c r="AG155" s="142"/>
      <c r="AH155" s="142"/>
      <c r="AI155" s="203">
        <v>11</v>
      </c>
    </row>
    <row r="156" spans="1:35" s="203" customFormat="1" ht="11.45" customHeight="1">
      <c r="A156" s="572"/>
      <c r="B156" s="68"/>
      <c r="C156" s="68"/>
      <c r="N156" s="63"/>
      <c r="O156" s="68"/>
      <c r="P156" s="68"/>
      <c r="Q156" s="63"/>
      <c r="R156" s="63"/>
      <c r="S156" s="63"/>
      <c r="T156" s="63"/>
      <c r="U156" s="68"/>
      <c r="V156" s="63"/>
      <c r="W156" s="63"/>
      <c r="X156" s="309"/>
      <c r="Y156" s="63"/>
      <c r="Z156" s="63"/>
      <c r="AA156" s="63"/>
      <c r="AB156" s="63"/>
      <c r="AC156" s="63"/>
      <c r="AD156" s="8"/>
      <c r="AE156" s="142"/>
      <c r="AF156" s="142"/>
      <c r="AG156" s="142"/>
      <c r="AH156" s="142"/>
      <c r="AI156" s="203">
        <v>11</v>
      </c>
    </row>
    <row r="157" spans="1:35" s="203" customFormat="1" ht="11.45" customHeight="1">
      <c r="A157" s="572"/>
      <c r="B157" s="68"/>
      <c r="C157" s="68"/>
      <c r="N157" s="63"/>
      <c r="O157" s="68"/>
      <c r="P157" s="68"/>
      <c r="Q157" s="63"/>
      <c r="R157" s="63"/>
      <c r="S157" s="63"/>
      <c r="T157" s="63"/>
      <c r="U157" s="68"/>
      <c r="V157" s="63"/>
      <c r="W157" s="63"/>
      <c r="X157" s="309"/>
      <c r="Y157" s="63"/>
      <c r="Z157" s="63"/>
      <c r="AA157" s="63"/>
      <c r="AB157" s="63"/>
      <c r="AC157" s="63"/>
      <c r="AD157" s="8"/>
      <c r="AE157" s="142"/>
      <c r="AF157" s="142"/>
      <c r="AG157" s="142"/>
      <c r="AH157" s="142"/>
      <c r="AI157" s="203">
        <v>11</v>
      </c>
    </row>
    <row r="158" spans="1:35" s="203" customFormat="1" ht="11.45" customHeight="1">
      <c r="A158" s="572"/>
      <c r="B158" s="68"/>
      <c r="C158" s="68"/>
      <c r="N158" s="63"/>
      <c r="O158" s="68"/>
      <c r="P158" s="68"/>
      <c r="Q158" s="63"/>
      <c r="R158" s="63"/>
      <c r="S158" s="63"/>
      <c r="T158" s="63"/>
      <c r="U158" s="68"/>
      <c r="V158" s="63"/>
      <c r="W158" s="63"/>
      <c r="X158" s="309"/>
      <c r="Y158" s="63"/>
      <c r="Z158" s="63"/>
      <c r="AA158" s="63"/>
      <c r="AB158" s="63"/>
      <c r="AC158" s="63"/>
      <c r="AD158" s="8"/>
      <c r="AE158" s="142"/>
      <c r="AF158" s="142"/>
      <c r="AG158" s="142"/>
      <c r="AH158" s="142"/>
      <c r="AI158" s="203">
        <v>11</v>
      </c>
    </row>
    <row r="159" spans="1:35" s="203" customFormat="1" ht="11.45" customHeight="1">
      <c r="A159" s="572"/>
      <c r="B159" s="68"/>
      <c r="C159" s="68"/>
      <c r="N159" s="63"/>
      <c r="O159" s="68"/>
      <c r="P159" s="68"/>
      <c r="Q159" s="63"/>
      <c r="R159" s="63"/>
      <c r="S159" s="63"/>
      <c r="T159" s="63"/>
      <c r="U159" s="68"/>
      <c r="V159" s="63"/>
      <c r="W159" s="63"/>
      <c r="X159" s="309"/>
      <c r="Y159" s="63"/>
      <c r="Z159" s="63"/>
      <c r="AA159" s="63"/>
      <c r="AB159" s="63"/>
      <c r="AC159" s="63"/>
      <c r="AD159" s="8"/>
      <c r="AE159" s="142"/>
      <c r="AF159" s="142"/>
      <c r="AG159" s="142"/>
      <c r="AH159" s="142"/>
      <c r="AI159" s="203">
        <v>11</v>
      </c>
    </row>
    <row r="160" spans="1:35" s="203" customFormat="1" ht="11.45" customHeight="1">
      <c r="A160" s="572"/>
      <c r="B160" s="68"/>
      <c r="C160" s="68"/>
      <c r="N160" s="63"/>
      <c r="O160" s="68"/>
      <c r="P160" s="68"/>
      <c r="Q160" s="63"/>
      <c r="R160" s="63"/>
      <c r="S160" s="63"/>
      <c r="T160" s="63"/>
      <c r="U160" s="68"/>
      <c r="V160" s="63"/>
      <c r="W160" s="63"/>
      <c r="X160" s="309"/>
      <c r="Y160" s="63"/>
      <c r="Z160" s="63"/>
      <c r="AA160" s="63"/>
      <c r="AB160" s="63"/>
      <c r="AC160" s="63"/>
      <c r="AD160" s="8"/>
      <c r="AE160" s="142"/>
      <c r="AF160" s="142"/>
      <c r="AG160" s="142"/>
      <c r="AH160" s="142"/>
      <c r="AI160" s="203">
        <v>11</v>
      </c>
    </row>
    <row r="161" spans="1:35" s="203" customFormat="1" ht="11.45" customHeight="1">
      <c r="A161" s="572"/>
      <c r="B161" s="68"/>
      <c r="C161" s="68"/>
      <c r="N161" s="63"/>
      <c r="O161" s="68"/>
      <c r="P161" s="68"/>
      <c r="Q161" s="63"/>
      <c r="R161" s="63"/>
      <c r="S161" s="63"/>
      <c r="T161" s="63"/>
      <c r="U161" s="68"/>
      <c r="V161" s="63"/>
      <c r="W161" s="63"/>
      <c r="X161" s="309"/>
      <c r="Y161" s="63"/>
      <c r="Z161" s="63"/>
      <c r="AA161" s="63"/>
      <c r="AB161" s="63"/>
      <c r="AC161" s="63"/>
      <c r="AD161" s="8"/>
      <c r="AE161" s="142"/>
      <c r="AF161" s="142"/>
      <c r="AG161" s="142"/>
      <c r="AH161" s="142"/>
      <c r="AI161" s="203">
        <v>11</v>
      </c>
    </row>
    <row r="162" spans="1:35" s="203" customFormat="1" ht="11.45" customHeight="1">
      <c r="A162" s="572"/>
      <c r="B162" s="68"/>
      <c r="C162" s="68"/>
      <c r="N162" s="63"/>
      <c r="O162" s="68"/>
      <c r="P162" s="68"/>
      <c r="Q162" s="63"/>
      <c r="R162" s="63"/>
      <c r="S162" s="63"/>
      <c r="T162" s="63"/>
      <c r="U162" s="68"/>
      <c r="V162" s="63"/>
      <c r="W162" s="63"/>
      <c r="X162" s="309"/>
      <c r="Y162" s="63"/>
      <c r="Z162" s="63"/>
      <c r="AA162" s="63"/>
      <c r="AB162" s="63"/>
      <c r="AC162" s="63"/>
      <c r="AD162" s="8"/>
      <c r="AE162" s="142"/>
      <c r="AF162" s="142"/>
      <c r="AG162" s="142"/>
      <c r="AH162" s="142"/>
      <c r="AI162" s="203">
        <v>11</v>
      </c>
    </row>
    <row r="163" spans="1:35" s="203" customFormat="1" ht="11.45" customHeight="1">
      <c r="A163" s="572"/>
      <c r="B163" s="68"/>
      <c r="C163" s="68"/>
      <c r="N163" s="63"/>
      <c r="O163" s="68"/>
      <c r="P163" s="68"/>
      <c r="Q163" s="63"/>
      <c r="R163" s="63"/>
      <c r="S163" s="63"/>
      <c r="T163" s="63"/>
      <c r="U163" s="68"/>
      <c r="V163" s="63"/>
      <c r="W163" s="63"/>
      <c r="X163" s="309"/>
      <c r="Y163" s="63"/>
      <c r="Z163" s="63"/>
      <c r="AA163" s="63"/>
      <c r="AB163" s="63"/>
      <c r="AC163" s="63"/>
      <c r="AD163" s="8"/>
      <c r="AE163" s="142"/>
      <c r="AF163" s="142"/>
      <c r="AG163" s="142"/>
      <c r="AH163" s="142"/>
      <c r="AI163" s="203">
        <v>11</v>
      </c>
    </row>
    <row r="164" spans="1:35" s="203" customFormat="1" ht="11.45" customHeight="1">
      <c r="A164" s="572"/>
      <c r="B164" s="68"/>
      <c r="C164" s="68"/>
      <c r="N164" s="63"/>
      <c r="O164" s="68"/>
      <c r="P164" s="68"/>
      <c r="Q164" s="63"/>
      <c r="R164" s="63"/>
      <c r="S164" s="63"/>
      <c r="T164" s="63"/>
      <c r="U164" s="68"/>
      <c r="V164" s="63"/>
      <c r="W164" s="63"/>
      <c r="X164" s="309"/>
      <c r="Y164" s="63"/>
      <c r="Z164" s="63"/>
      <c r="AA164" s="63"/>
      <c r="AB164" s="63"/>
      <c r="AC164" s="63"/>
      <c r="AD164" s="8"/>
      <c r="AE164" s="142"/>
      <c r="AF164" s="142"/>
      <c r="AG164" s="142"/>
      <c r="AH164" s="142"/>
      <c r="AI164" s="203">
        <v>11</v>
      </c>
    </row>
    <row r="165" spans="1:35" s="203" customFormat="1" ht="11.45" customHeight="1">
      <c r="A165" s="572"/>
      <c r="B165" s="68"/>
      <c r="C165" s="68"/>
      <c r="N165" s="63"/>
      <c r="O165" s="68"/>
      <c r="P165" s="68"/>
      <c r="Q165" s="63"/>
      <c r="R165" s="63"/>
      <c r="S165" s="63"/>
      <c r="T165" s="63"/>
      <c r="U165" s="68"/>
      <c r="V165" s="63"/>
      <c r="W165" s="63"/>
      <c r="X165" s="309"/>
      <c r="Y165" s="63"/>
      <c r="Z165" s="63"/>
      <c r="AA165" s="63"/>
      <c r="AB165" s="63"/>
      <c r="AC165" s="63"/>
      <c r="AD165" s="8"/>
      <c r="AE165" s="142"/>
      <c r="AF165" s="142"/>
      <c r="AG165" s="142"/>
      <c r="AH165" s="142"/>
      <c r="AI165" s="203">
        <v>11</v>
      </c>
    </row>
    <row r="166" spans="1:35" s="203" customFormat="1" ht="11.45" customHeight="1">
      <c r="A166" s="572"/>
      <c r="B166" s="68"/>
      <c r="C166" s="68"/>
      <c r="N166" s="63"/>
      <c r="O166" s="68"/>
      <c r="P166" s="68"/>
      <c r="Q166" s="63"/>
      <c r="R166" s="63"/>
      <c r="S166" s="63"/>
      <c r="T166" s="63"/>
      <c r="U166" s="68"/>
      <c r="V166" s="63"/>
      <c r="W166" s="63"/>
      <c r="X166" s="309"/>
      <c r="Y166" s="63"/>
      <c r="Z166" s="63"/>
      <c r="AA166" s="63"/>
      <c r="AB166" s="63"/>
      <c r="AC166" s="63"/>
      <c r="AD166" s="8"/>
      <c r="AE166" s="142"/>
      <c r="AF166" s="142"/>
      <c r="AG166" s="142"/>
      <c r="AH166" s="142"/>
      <c r="AI166" s="203">
        <v>11</v>
      </c>
    </row>
    <row r="167" spans="1:35" s="203" customFormat="1" ht="11.45" customHeight="1">
      <c r="A167" s="572"/>
      <c r="B167" s="68"/>
      <c r="C167" s="68"/>
      <c r="N167" s="63"/>
      <c r="O167" s="68"/>
      <c r="P167" s="68"/>
      <c r="Q167" s="63"/>
      <c r="R167" s="63"/>
      <c r="S167" s="63"/>
      <c r="T167" s="63"/>
      <c r="U167" s="68"/>
      <c r="V167" s="63"/>
      <c r="W167" s="63"/>
      <c r="X167" s="309"/>
      <c r="Y167" s="63"/>
      <c r="Z167" s="63"/>
      <c r="AA167" s="63"/>
      <c r="AB167" s="63"/>
      <c r="AC167" s="63"/>
      <c r="AD167" s="8"/>
      <c r="AE167" s="142"/>
      <c r="AF167" s="142"/>
      <c r="AG167" s="142"/>
      <c r="AH167" s="142"/>
      <c r="AI167" s="203">
        <v>11</v>
      </c>
    </row>
    <row r="168" spans="1:35" s="203" customFormat="1" ht="11.45" customHeight="1">
      <c r="A168" s="572"/>
      <c r="B168" s="68"/>
      <c r="C168" s="68"/>
      <c r="N168" s="63"/>
      <c r="O168" s="68"/>
      <c r="P168" s="68"/>
      <c r="Q168" s="63"/>
      <c r="R168" s="63"/>
      <c r="S168" s="63"/>
      <c r="T168" s="63"/>
      <c r="U168" s="68"/>
      <c r="V168" s="63"/>
      <c r="W168" s="63"/>
      <c r="X168" s="309"/>
      <c r="Y168" s="63"/>
      <c r="Z168" s="63"/>
      <c r="AA168" s="63"/>
      <c r="AB168" s="63"/>
      <c r="AC168" s="63"/>
      <c r="AD168" s="8"/>
      <c r="AE168" s="142"/>
      <c r="AF168" s="142"/>
      <c r="AG168" s="142"/>
      <c r="AH168" s="142"/>
      <c r="AI168" s="203">
        <v>11</v>
      </c>
    </row>
    <row r="169" spans="1:35" s="203" customFormat="1" ht="11.45" customHeight="1">
      <c r="A169" s="572"/>
      <c r="B169" s="68"/>
      <c r="C169" s="68"/>
      <c r="N169" s="63"/>
      <c r="O169" s="68"/>
      <c r="P169" s="68"/>
      <c r="Q169" s="63"/>
      <c r="R169" s="63"/>
      <c r="S169" s="63"/>
      <c r="T169" s="63"/>
      <c r="U169" s="68"/>
      <c r="V169" s="63"/>
      <c r="W169" s="63"/>
      <c r="X169" s="309"/>
      <c r="Y169" s="63"/>
      <c r="Z169" s="63"/>
      <c r="AA169" s="63"/>
      <c r="AB169" s="63"/>
      <c r="AC169" s="63"/>
      <c r="AD169" s="8"/>
      <c r="AE169" s="142"/>
      <c r="AF169" s="142"/>
      <c r="AG169" s="142"/>
      <c r="AH169" s="142"/>
      <c r="AI169" s="203">
        <v>11</v>
      </c>
    </row>
    <row r="170" spans="1:35" s="203" customFormat="1" ht="11.45" customHeight="1">
      <c r="A170" s="572"/>
      <c r="B170" s="68"/>
      <c r="C170" s="68"/>
      <c r="N170" s="63"/>
      <c r="O170" s="68"/>
      <c r="P170" s="68"/>
      <c r="Q170" s="63"/>
      <c r="R170" s="63"/>
      <c r="S170" s="63"/>
      <c r="T170" s="63"/>
      <c r="U170" s="68"/>
      <c r="V170" s="63"/>
      <c r="W170" s="63"/>
      <c r="X170" s="309"/>
      <c r="Y170" s="63"/>
      <c r="Z170" s="63"/>
      <c r="AA170" s="63"/>
      <c r="AB170" s="63"/>
      <c r="AC170" s="63"/>
      <c r="AD170" s="8"/>
      <c r="AE170" s="142"/>
      <c r="AF170" s="142"/>
      <c r="AG170" s="142"/>
      <c r="AH170" s="142"/>
      <c r="AI170" s="203">
        <v>11</v>
      </c>
    </row>
    <row r="171" spans="1:35" s="203" customFormat="1" ht="11.45" customHeight="1">
      <c r="A171" s="572"/>
      <c r="B171" s="68"/>
      <c r="C171" s="68"/>
      <c r="N171" s="63"/>
      <c r="O171" s="68"/>
      <c r="P171" s="68"/>
      <c r="Q171" s="63"/>
      <c r="R171" s="63"/>
      <c r="S171" s="63"/>
      <c r="T171" s="63"/>
      <c r="U171" s="68"/>
      <c r="V171" s="63"/>
      <c r="W171" s="63"/>
      <c r="X171" s="309"/>
      <c r="Y171" s="63"/>
      <c r="Z171" s="63"/>
      <c r="AA171" s="63"/>
      <c r="AB171" s="63"/>
      <c r="AC171" s="63"/>
      <c r="AD171" s="8"/>
      <c r="AE171" s="142"/>
      <c r="AF171" s="142"/>
      <c r="AG171" s="142"/>
      <c r="AH171" s="142"/>
      <c r="AI171" s="203">
        <v>11</v>
      </c>
    </row>
    <row r="172" spans="1:35" s="203" customFormat="1" ht="11.45" customHeight="1">
      <c r="A172" s="572"/>
      <c r="B172" s="68"/>
      <c r="C172" s="68"/>
      <c r="N172" s="63"/>
      <c r="O172" s="68"/>
      <c r="P172" s="68"/>
      <c r="Q172" s="63"/>
      <c r="R172" s="63"/>
      <c r="S172" s="63"/>
      <c r="T172" s="63"/>
      <c r="U172" s="68"/>
      <c r="V172" s="63"/>
      <c r="W172" s="63"/>
      <c r="X172" s="309"/>
      <c r="Y172" s="63"/>
      <c r="Z172" s="63"/>
      <c r="AA172" s="63"/>
      <c r="AB172" s="63"/>
      <c r="AC172" s="63"/>
      <c r="AD172" s="8"/>
      <c r="AE172" s="142"/>
      <c r="AF172" s="142"/>
      <c r="AG172" s="142"/>
      <c r="AH172" s="142"/>
      <c r="AI172" s="203">
        <v>11</v>
      </c>
    </row>
    <row r="173" spans="1:35" s="203" customFormat="1" ht="11.45" customHeight="1">
      <c r="A173" s="572"/>
      <c r="B173" s="68"/>
      <c r="C173" s="68"/>
      <c r="N173" s="63"/>
      <c r="O173" s="68"/>
      <c r="P173" s="68"/>
      <c r="Q173" s="63"/>
      <c r="R173" s="63"/>
      <c r="S173" s="63"/>
      <c r="T173" s="63"/>
      <c r="U173" s="68"/>
      <c r="V173" s="63"/>
      <c r="W173" s="63"/>
      <c r="X173" s="309"/>
      <c r="Y173" s="63"/>
      <c r="Z173" s="63"/>
      <c r="AA173" s="63"/>
      <c r="AB173" s="63"/>
      <c r="AC173" s="63"/>
      <c r="AD173" s="8"/>
      <c r="AE173" s="142"/>
      <c r="AF173" s="142"/>
      <c r="AG173" s="142"/>
      <c r="AH173" s="142"/>
      <c r="AI173" s="203">
        <v>11</v>
      </c>
    </row>
    <row r="174" spans="1:35" s="203" customFormat="1" ht="11.45" customHeight="1">
      <c r="A174" s="572"/>
      <c r="B174" s="68"/>
      <c r="C174" s="68"/>
      <c r="N174" s="63"/>
      <c r="O174" s="68"/>
      <c r="P174" s="68"/>
      <c r="Q174" s="63"/>
      <c r="R174" s="63"/>
      <c r="S174" s="63"/>
      <c r="T174" s="63"/>
      <c r="U174" s="68"/>
      <c r="V174" s="63"/>
      <c r="W174" s="63"/>
      <c r="X174" s="309"/>
      <c r="Y174" s="63"/>
      <c r="Z174" s="63"/>
      <c r="AA174" s="63"/>
      <c r="AB174" s="63"/>
      <c r="AC174" s="63"/>
      <c r="AD174" s="8"/>
      <c r="AE174" s="142"/>
      <c r="AF174" s="142"/>
      <c r="AG174" s="142"/>
      <c r="AH174" s="142"/>
      <c r="AI174" s="203">
        <v>11</v>
      </c>
    </row>
    <row r="175" spans="1:35" s="203" customFormat="1" ht="11.45" customHeight="1">
      <c r="A175" s="572"/>
      <c r="B175" s="68"/>
      <c r="C175" s="68"/>
      <c r="N175" s="63"/>
      <c r="O175" s="68"/>
      <c r="P175" s="68"/>
      <c r="Q175" s="63"/>
      <c r="R175" s="63"/>
      <c r="S175" s="63"/>
      <c r="T175" s="63"/>
      <c r="U175" s="68"/>
      <c r="V175" s="63"/>
      <c r="W175" s="63"/>
      <c r="X175" s="309"/>
      <c r="Y175" s="63"/>
      <c r="Z175" s="63"/>
      <c r="AA175" s="63"/>
      <c r="AB175" s="63"/>
      <c r="AC175" s="63"/>
      <c r="AD175" s="8"/>
      <c r="AE175" s="142"/>
      <c r="AF175" s="142"/>
      <c r="AG175" s="142"/>
      <c r="AH175" s="142"/>
      <c r="AI175" s="203">
        <v>11</v>
      </c>
    </row>
    <row r="176" spans="1:35" s="203" customFormat="1" ht="11.45" customHeight="1">
      <c r="A176" s="572"/>
      <c r="B176" s="68"/>
      <c r="C176" s="68"/>
      <c r="N176" s="63"/>
      <c r="O176" s="68"/>
      <c r="P176" s="68"/>
      <c r="Q176" s="63"/>
      <c r="R176" s="63"/>
      <c r="S176" s="63"/>
      <c r="T176" s="63"/>
      <c r="U176" s="68"/>
      <c r="V176" s="63"/>
      <c r="W176" s="63"/>
      <c r="X176" s="309"/>
      <c r="Y176" s="63"/>
      <c r="Z176" s="63"/>
      <c r="AA176" s="63"/>
      <c r="AB176" s="63"/>
      <c r="AC176" s="63"/>
      <c r="AD176" s="8"/>
      <c r="AE176" s="142"/>
      <c r="AF176" s="142"/>
      <c r="AG176" s="142"/>
      <c r="AH176" s="142"/>
      <c r="AI176" s="203">
        <v>11</v>
      </c>
    </row>
    <row r="177" spans="1:35" s="203" customFormat="1" ht="11.45" customHeight="1">
      <c r="A177" s="572"/>
      <c r="B177" s="68"/>
      <c r="C177" s="68"/>
      <c r="N177" s="63"/>
      <c r="O177" s="68"/>
      <c r="P177" s="68"/>
      <c r="Q177" s="63"/>
      <c r="R177" s="63"/>
      <c r="S177" s="63"/>
      <c r="T177" s="63"/>
      <c r="U177" s="68"/>
      <c r="V177" s="63"/>
      <c r="W177" s="63"/>
      <c r="X177" s="309"/>
      <c r="Y177" s="63"/>
      <c r="Z177" s="63"/>
      <c r="AA177" s="63"/>
      <c r="AB177" s="63"/>
      <c r="AC177" s="63"/>
      <c r="AD177" s="8"/>
      <c r="AE177" s="142"/>
      <c r="AF177" s="142"/>
      <c r="AG177" s="142"/>
      <c r="AH177" s="142"/>
      <c r="AI177" s="203">
        <v>11</v>
      </c>
    </row>
    <row r="178" spans="1:35" s="203" customFormat="1" ht="11.45" customHeight="1">
      <c r="A178" s="572"/>
      <c r="B178" s="68"/>
      <c r="C178" s="68"/>
      <c r="N178" s="63"/>
      <c r="O178" s="68"/>
      <c r="P178" s="68"/>
      <c r="Q178" s="63"/>
      <c r="R178" s="63"/>
      <c r="S178" s="63"/>
      <c r="T178" s="63"/>
      <c r="U178" s="68"/>
      <c r="V178" s="63"/>
      <c r="W178" s="63"/>
      <c r="X178" s="309"/>
      <c r="Y178" s="63"/>
      <c r="Z178" s="63"/>
      <c r="AA178" s="63"/>
      <c r="AB178" s="63"/>
      <c r="AC178" s="63"/>
      <c r="AD178" s="8"/>
      <c r="AE178" s="142"/>
      <c r="AF178" s="142"/>
      <c r="AG178" s="142"/>
      <c r="AH178" s="142"/>
      <c r="AI178" s="203">
        <v>11</v>
      </c>
    </row>
    <row r="179" spans="1:35" s="203" customFormat="1" ht="11.45" customHeight="1">
      <c r="A179" s="572"/>
      <c r="B179" s="68"/>
      <c r="C179" s="68"/>
      <c r="N179" s="63"/>
      <c r="O179" s="68"/>
      <c r="P179" s="68"/>
      <c r="Q179" s="63"/>
      <c r="R179" s="63"/>
      <c r="S179" s="63"/>
      <c r="T179" s="63"/>
      <c r="U179" s="68"/>
      <c r="V179" s="63"/>
      <c r="W179" s="63"/>
      <c r="X179" s="309"/>
      <c r="Y179" s="63"/>
      <c r="Z179" s="63"/>
      <c r="AA179" s="63"/>
      <c r="AB179" s="63"/>
      <c r="AC179" s="63"/>
      <c r="AD179" s="8"/>
      <c r="AE179" s="142"/>
      <c r="AF179" s="142"/>
      <c r="AG179" s="142"/>
      <c r="AH179" s="142"/>
      <c r="AI179" s="203">
        <v>11</v>
      </c>
    </row>
    <row r="180" spans="1:35" s="203" customFormat="1" ht="11.45" customHeight="1">
      <c r="A180" s="572"/>
      <c r="B180" s="68"/>
      <c r="C180" s="68"/>
      <c r="N180" s="63"/>
      <c r="O180" s="68"/>
      <c r="P180" s="68"/>
      <c r="Q180" s="63"/>
      <c r="R180" s="63"/>
      <c r="S180" s="63"/>
      <c r="T180" s="63"/>
      <c r="U180" s="68"/>
      <c r="V180" s="63"/>
      <c r="W180" s="63"/>
      <c r="X180" s="309"/>
      <c r="Y180" s="63"/>
      <c r="Z180" s="63"/>
      <c r="AA180" s="63"/>
      <c r="AB180" s="63"/>
      <c r="AC180" s="63"/>
      <c r="AD180" s="8"/>
      <c r="AE180" s="142"/>
      <c r="AF180" s="142"/>
      <c r="AG180" s="142"/>
      <c r="AH180" s="142"/>
      <c r="AI180" s="203">
        <v>11</v>
      </c>
    </row>
    <row r="181" spans="1:35" s="203" customFormat="1" ht="11.45" customHeight="1">
      <c r="A181" s="572"/>
      <c r="B181" s="68"/>
      <c r="C181" s="68"/>
      <c r="N181" s="63"/>
      <c r="O181" s="68"/>
      <c r="P181" s="68"/>
      <c r="Q181" s="63"/>
      <c r="R181" s="63"/>
      <c r="S181" s="63"/>
      <c r="T181" s="63"/>
      <c r="U181" s="68"/>
      <c r="V181" s="63"/>
      <c r="W181" s="63"/>
      <c r="X181" s="309"/>
      <c r="Y181" s="63"/>
      <c r="Z181" s="63"/>
      <c r="AA181" s="63"/>
      <c r="AB181" s="63"/>
      <c r="AC181" s="63"/>
      <c r="AD181" s="8"/>
      <c r="AE181" s="142"/>
      <c r="AF181" s="142"/>
      <c r="AG181" s="142"/>
      <c r="AH181" s="142"/>
      <c r="AI181" s="203">
        <v>11</v>
      </c>
    </row>
    <row r="182" spans="1:35" s="203" customFormat="1" ht="11.45" customHeight="1">
      <c r="A182" s="572"/>
      <c r="B182" s="68"/>
      <c r="C182" s="68"/>
      <c r="N182" s="63"/>
      <c r="O182" s="68"/>
      <c r="P182" s="68"/>
      <c r="Q182" s="63"/>
      <c r="R182" s="63"/>
      <c r="S182" s="63"/>
      <c r="T182" s="63"/>
      <c r="U182" s="68"/>
      <c r="V182" s="63"/>
      <c r="W182" s="63"/>
      <c r="X182" s="309"/>
      <c r="Y182" s="63"/>
      <c r="Z182" s="63"/>
      <c r="AA182" s="63"/>
      <c r="AB182" s="63"/>
      <c r="AC182" s="63"/>
      <c r="AD182" s="8"/>
      <c r="AE182" s="142"/>
      <c r="AF182" s="142"/>
      <c r="AG182" s="142"/>
      <c r="AH182" s="142"/>
      <c r="AI182" s="203">
        <v>11</v>
      </c>
    </row>
    <row r="183" spans="1:35" s="203" customFormat="1" ht="11.45" customHeight="1">
      <c r="A183" s="572"/>
      <c r="B183" s="68"/>
      <c r="C183" s="68"/>
      <c r="N183" s="63"/>
      <c r="O183" s="68"/>
      <c r="P183" s="68"/>
      <c r="Q183" s="63"/>
      <c r="R183" s="63"/>
      <c r="S183" s="63"/>
      <c r="T183" s="63"/>
      <c r="U183" s="68"/>
      <c r="V183" s="63"/>
      <c r="W183" s="63"/>
      <c r="X183" s="309"/>
      <c r="Y183" s="63"/>
      <c r="Z183" s="63"/>
      <c r="AA183" s="63"/>
      <c r="AB183" s="63"/>
      <c r="AC183" s="63"/>
      <c r="AD183" s="8"/>
      <c r="AE183" s="142"/>
      <c r="AF183" s="142"/>
      <c r="AG183" s="142"/>
      <c r="AH183" s="142"/>
      <c r="AI183" s="203">
        <v>11</v>
      </c>
    </row>
    <row r="184" spans="1:35" s="203" customFormat="1" ht="11.45" customHeight="1">
      <c r="A184" s="572"/>
      <c r="B184" s="68"/>
      <c r="C184" s="68"/>
      <c r="N184" s="63"/>
      <c r="O184" s="68"/>
      <c r="P184" s="68"/>
      <c r="Q184" s="63"/>
      <c r="R184" s="63"/>
      <c r="S184" s="63"/>
      <c r="T184" s="63"/>
      <c r="U184" s="68"/>
      <c r="V184" s="63"/>
      <c r="W184" s="63"/>
      <c r="X184" s="309"/>
      <c r="Y184" s="63"/>
      <c r="Z184" s="63"/>
      <c r="AA184" s="63"/>
      <c r="AB184" s="63"/>
      <c r="AC184" s="63"/>
      <c r="AD184" s="8"/>
      <c r="AE184" s="142"/>
      <c r="AF184" s="142"/>
      <c r="AG184" s="142"/>
      <c r="AH184" s="142"/>
      <c r="AI184" s="203">
        <v>11</v>
      </c>
    </row>
    <row r="185" spans="1:35" s="203" customFormat="1" ht="11.45" customHeight="1">
      <c r="A185" s="572"/>
      <c r="B185" s="68"/>
      <c r="C185" s="68"/>
      <c r="N185" s="63"/>
      <c r="O185" s="68"/>
      <c r="P185" s="68"/>
      <c r="Q185" s="63"/>
      <c r="R185" s="63"/>
      <c r="S185" s="63"/>
      <c r="T185" s="63"/>
      <c r="U185" s="68"/>
      <c r="V185" s="63"/>
      <c r="W185" s="63"/>
      <c r="X185" s="309"/>
      <c r="Y185" s="63"/>
      <c r="Z185" s="63"/>
      <c r="AA185" s="63"/>
      <c r="AB185" s="63"/>
      <c r="AC185" s="63"/>
      <c r="AD185" s="8"/>
      <c r="AE185" s="142"/>
      <c r="AF185" s="142"/>
      <c r="AG185" s="142"/>
      <c r="AH185" s="142"/>
      <c r="AI185" s="203">
        <v>11</v>
      </c>
    </row>
    <row r="186" spans="1:35" s="203" customFormat="1" ht="11.45" customHeight="1">
      <c r="A186" s="572"/>
      <c r="B186" s="68"/>
      <c r="C186" s="68"/>
      <c r="N186" s="63"/>
      <c r="O186" s="68"/>
      <c r="P186" s="68"/>
      <c r="Q186" s="63"/>
      <c r="R186" s="63"/>
      <c r="S186" s="63"/>
      <c r="T186" s="63"/>
      <c r="U186" s="68"/>
      <c r="V186" s="63"/>
      <c r="W186" s="63"/>
      <c r="X186" s="309"/>
      <c r="Y186" s="63"/>
      <c r="Z186" s="63"/>
      <c r="AA186" s="63"/>
      <c r="AB186" s="63"/>
      <c r="AC186" s="63"/>
      <c r="AD186" s="8"/>
      <c r="AE186" s="142"/>
      <c r="AF186" s="142"/>
      <c r="AG186" s="142"/>
      <c r="AH186" s="142"/>
      <c r="AI186" s="203">
        <v>11</v>
      </c>
    </row>
    <row r="187" spans="1:35" s="203" customFormat="1" ht="11.45" customHeight="1">
      <c r="A187" s="572"/>
      <c r="B187" s="68"/>
      <c r="C187" s="68"/>
      <c r="N187" s="63"/>
      <c r="O187" s="68"/>
      <c r="P187" s="68"/>
      <c r="Q187" s="63"/>
      <c r="R187" s="63"/>
      <c r="S187" s="63"/>
      <c r="T187" s="63"/>
      <c r="U187" s="68"/>
      <c r="V187" s="63"/>
      <c r="W187" s="63"/>
      <c r="X187" s="309"/>
      <c r="Y187" s="63"/>
      <c r="Z187" s="63"/>
      <c r="AA187" s="63"/>
      <c r="AB187" s="63"/>
      <c r="AC187" s="63"/>
      <c r="AD187" s="8"/>
      <c r="AE187" s="142"/>
      <c r="AF187" s="142"/>
      <c r="AG187" s="142"/>
      <c r="AH187" s="142"/>
      <c r="AI187" s="203">
        <v>11</v>
      </c>
    </row>
    <row r="188" spans="1:35" s="203" customFormat="1" ht="11.45" customHeight="1">
      <c r="A188" s="572"/>
      <c r="B188" s="68"/>
      <c r="C188" s="68"/>
      <c r="N188" s="63"/>
      <c r="O188" s="68"/>
      <c r="P188" s="68"/>
      <c r="Q188" s="63"/>
      <c r="R188" s="63"/>
      <c r="S188" s="63"/>
      <c r="T188" s="63"/>
      <c r="U188" s="68"/>
      <c r="V188" s="63"/>
      <c r="W188" s="63"/>
      <c r="X188" s="309"/>
      <c r="Y188" s="63"/>
      <c r="Z188" s="63"/>
      <c r="AA188" s="63"/>
      <c r="AB188" s="63"/>
      <c r="AC188" s="63"/>
      <c r="AD188" s="8"/>
      <c r="AE188" s="142"/>
      <c r="AF188" s="142"/>
      <c r="AG188" s="142"/>
      <c r="AH188" s="142"/>
      <c r="AI188" s="203">
        <v>11</v>
      </c>
    </row>
    <row r="189" spans="1:35" s="203" customFormat="1" ht="11.45" customHeight="1">
      <c r="A189" s="572"/>
      <c r="B189" s="68"/>
      <c r="C189" s="68"/>
      <c r="N189" s="63"/>
      <c r="O189" s="68"/>
      <c r="P189" s="68"/>
      <c r="Q189" s="63"/>
      <c r="R189" s="63"/>
      <c r="S189" s="63"/>
      <c r="T189" s="63"/>
      <c r="U189" s="68"/>
      <c r="V189" s="63"/>
      <c r="W189" s="63"/>
      <c r="X189" s="309"/>
      <c r="Y189" s="63"/>
      <c r="Z189" s="63"/>
      <c r="AA189" s="63"/>
      <c r="AB189" s="63"/>
      <c r="AC189" s="63"/>
      <c r="AD189" s="8"/>
      <c r="AE189" s="142"/>
      <c r="AF189" s="142"/>
      <c r="AG189" s="142"/>
      <c r="AH189" s="142"/>
      <c r="AI189" s="203">
        <v>11</v>
      </c>
    </row>
    <row r="190" spans="1:35" s="203" customFormat="1" ht="11.45" customHeight="1">
      <c r="A190" s="572"/>
      <c r="B190" s="68"/>
      <c r="C190" s="68"/>
      <c r="N190" s="63"/>
      <c r="O190" s="68"/>
      <c r="P190" s="68"/>
      <c r="Q190" s="63"/>
      <c r="R190" s="63"/>
      <c r="S190" s="63"/>
      <c r="T190" s="63"/>
      <c r="U190" s="68"/>
      <c r="V190" s="63"/>
      <c r="W190" s="63"/>
      <c r="X190" s="309"/>
      <c r="Y190" s="63"/>
      <c r="Z190" s="63"/>
      <c r="AA190" s="63"/>
      <c r="AB190" s="63"/>
      <c r="AC190" s="63"/>
      <c r="AD190" s="8"/>
      <c r="AE190" s="142"/>
      <c r="AF190" s="142"/>
      <c r="AG190" s="142"/>
      <c r="AH190" s="142"/>
      <c r="AI190" s="203">
        <v>11</v>
      </c>
    </row>
    <row r="191" spans="1:35" s="203" customFormat="1" ht="11.45" customHeight="1">
      <c r="A191" s="572"/>
      <c r="B191" s="68"/>
      <c r="C191" s="68"/>
      <c r="N191" s="63"/>
      <c r="O191" s="68"/>
      <c r="P191" s="68"/>
      <c r="Q191" s="63"/>
      <c r="R191" s="63"/>
      <c r="S191" s="63"/>
      <c r="T191" s="63"/>
      <c r="U191" s="68"/>
      <c r="V191" s="63"/>
      <c r="W191" s="63"/>
      <c r="X191" s="309"/>
      <c r="Y191" s="63"/>
      <c r="Z191" s="63"/>
      <c r="AA191" s="63"/>
      <c r="AB191" s="63"/>
      <c r="AC191" s="63"/>
      <c r="AD191" s="8"/>
      <c r="AE191" s="142"/>
      <c r="AF191" s="142"/>
      <c r="AG191" s="142"/>
      <c r="AH191" s="142"/>
      <c r="AI191" s="203">
        <v>11</v>
      </c>
    </row>
    <row r="192" spans="1:35" s="203" customFormat="1" ht="11.45" customHeight="1">
      <c r="A192" s="572"/>
      <c r="B192" s="68"/>
      <c r="C192" s="68"/>
      <c r="N192" s="63"/>
      <c r="O192" s="68"/>
      <c r="P192" s="68"/>
      <c r="Q192" s="63"/>
      <c r="R192" s="63"/>
      <c r="S192" s="63"/>
      <c r="T192" s="63"/>
      <c r="U192" s="68"/>
      <c r="V192" s="63"/>
      <c r="W192" s="63"/>
      <c r="X192" s="309"/>
      <c r="Y192" s="63"/>
      <c r="Z192" s="63"/>
      <c r="AA192" s="63"/>
      <c r="AB192" s="63"/>
      <c r="AC192" s="63"/>
      <c r="AD192" s="8"/>
      <c r="AE192" s="142"/>
      <c r="AF192" s="142"/>
      <c r="AG192" s="142"/>
      <c r="AH192" s="142"/>
      <c r="AI192" s="203">
        <v>11</v>
      </c>
    </row>
    <row r="193" spans="1:35" s="203" customFormat="1" ht="11.45" customHeight="1">
      <c r="A193" s="572"/>
      <c r="B193" s="68"/>
      <c r="C193" s="68"/>
      <c r="N193" s="63"/>
      <c r="O193" s="68"/>
      <c r="P193" s="68"/>
      <c r="Q193" s="63"/>
      <c r="R193" s="63"/>
      <c r="S193" s="63"/>
      <c r="T193" s="63"/>
      <c r="U193" s="68"/>
      <c r="V193" s="63"/>
      <c r="W193" s="63"/>
      <c r="X193" s="309"/>
      <c r="Y193" s="63"/>
      <c r="Z193" s="63"/>
      <c r="AA193" s="63"/>
      <c r="AB193" s="63"/>
      <c r="AC193" s="63"/>
      <c r="AD193" s="8"/>
      <c r="AE193" s="142"/>
      <c r="AF193" s="142"/>
      <c r="AG193" s="142"/>
      <c r="AH193" s="142"/>
      <c r="AI193" s="203">
        <v>11</v>
      </c>
    </row>
    <row r="194" spans="1:35" s="203" customFormat="1" ht="11.45" customHeight="1">
      <c r="A194" s="572"/>
      <c r="B194" s="68"/>
      <c r="C194" s="68"/>
      <c r="N194" s="63"/>
      <c r="O194" s="68"/>
      <c r="P194" s="68"/>
      <c r="Q194" s="63"/>
      <c r="R194" s="63"/>
      <c r="S194" s="63"/>
      <c r="T194" s="63"/>
      <c r="U194" s="68"/>
      <c r="V194" s="63"/>
      <c r="W194" s="63"/>
      <c r="X194" s="309"/>
      <c r="Y194" s="63"/>
      <c r="Z194" s="63"/>
      <c r="AA194" s="63"/>
      <c r="AB194" s="63"/>
      <c r="AC194" s="63"/>
      <c r="AD194" s="8"/>
      <c r="AE194" s="142"/>
      <c r="AF194" s="142"/>
      <c r="AG194" s="142"/>
      <c r="AH194" s="142"/>
      <c r="AI194" s="203">
        <v>11</v>
      </c>
    </row>
    <row r="195" spans="1:35" s="203" customFormat="1" ht="11.45" customHeight="1">
      <c r="A195" s="572"/>
      <c r="B195" s="68"/>
      <c r="C195" s="68"/>
      <c r="N195" s="63"/>
      <c r="O195" s="68"/>
      <c r="P195" s="68"/>
      <c r="Q195" s="63"/>
      <c r="R195" s="63"/>
      <c r="S195" s="63"/>
      <c r="T195" s="63"/>
      <c r="U195" s="68"/>
      <c r="V195" s="63"/>
      <c r="W195" s="63"/>
      <c r="X195" s="309"/>
      <c r="Y195" s="63"/>
      <c r="Z195" s="63"/>
      <c r="AA195" s="63"/>
      <c r="AB195" s="63"/>
      <c r="AC195" s="63"/>
      <c r="AD195" s="8"/>
      <c r="AE195" s="142"/>
      <c r="AF195" s="142"/>
      <c r="AG195" s="142"/>
      <c r="AH195" s="142"/>
      <c r="AI195" s="203">
        <v>11</v>
      </c>
    </row>
    <row r="196" spans="1:35" s="203" customFormat="1" ht="11.45" customHeight="1">
      <c r="A196" s="572"/>
      <c r="B196" s="68"/>
      <c r="C196" s="68"/>
      <c r="N196" s="63"/>
      <c r="O196" s="68"/>
      <c r="P196" s="68"/>
      <c r="Q196" s="63"/>
      <c r="R196" s="63"/>
      <c r="S196" s="63"/>
      <c r="T196" s="63"/>
      <c r="U196" s="68"/>
      <c r="V196" s="63"/>
      <c r="W196" s="63"/>
      <c r="X196" s="309"/>
      <c r="Y196" s="63"/>
      <c r="Z196" s="63"/>
      <c r="AA196" s="63"/>
      <c r="AB196" s="63"/>
      <c r="AC196" s="63"/>
      <c r="AD196" s="8"/>
      <c r="AE196" s="142"/>
      <c r="AF196" s="142"/>
      <c r="AG196" s="142"/>
      <c r="AH196" s="142"/>
      <c r="AI196" s="203">
        <v>11</v>
      </c>
    </row>
    <row r="197" spans="1:35" s="203" customFormat="1" ht="11.45" customHeight="1">
      <c r="A197" s="572"/>
      <c r="B197" s="68"/>
      <c r="C197" s="68"/>
      <c r="N197" s="63"/>
      <c r="O197" s="68"/>
      <c r="P197" s="68"/>
      <c r="Q197" s="63"/>
      <c r="R197" s="63"/>
      <c r="S197" s="63"/>
      <c r="T197" s="63"/>
      <c r="U197" s="68"/>
      <c r="V197" s="63"/>
      <c r="W197" s="63"/>
      <c r="X197" s="309"/>
      <c r="Y197" s="63"/>
      <c r="Z197" s="63"/>
      <c r="AA197" s="63"/>
      <c r="AB197" s="63"/>
      <c r="AC197" s="63"/>
      <c r="AD197" s="8"/>
      <c r="AE197" s="142"/>
      <c r="AF197" s="142"/>
      <c r="AG197" s="142"/>
      <c r="AH197" s="142"/>
      <c r="AI197" s="203">
        <v>11</v>
      </c>
    </row>
    <row r="198" spans="1:35" s="203" customFormat="1" ht="11.45" customHeight="1">
      <c r="A198" s="572"/>
      <c r="B198" s="68"/>
      <c r="C198" s="68"/>
      <c r="N198" s="63"/>
      <c r="O198" s="68"/>
      <c r="P198" s="68"/>
      <c r="Q198" s="63"/>
      <c r="R198" s="63"/>
      <c r="S198" s="63"/>
      <c r="T198" s="63"/>
      <c r="U198" s="68"/>
      <c r="V198" s="63"/>
      <c r="W198" s="63"/>
      <c r="X198" s="309"/>
      <c r="Y198" s="63"/>
      <c r="Z198" s="63"/>
      <c r="AA198" s="63"/>
      <c r="AB198" s="63"/>
      <c r="AC198" s="63"/>
      <c r="AD198" s="8"/>
      <c r="AE198" s="142"/>
      <c r="AF198" s="142"/>
      <c r="AG198" s="142"/>
      <c r="AH198" s="142"/>
      <c r="AI198" s="203">
        <v>11</v>
      </c>
    </row>
    <row r="199" spans="1:35" s="203" customFormat="1" ht="11.45" customHeight="1">
      <c r="A199" s="572"/>
      <c r="B199" s="68"/>
      <c r="C199" s="68"/>
      <c r="N199" s="63"/>
      <c r="O199" s="68"/>
      <c r="P199" s="68"/>
      <c r="Q199" s="63"/>
      <c r="R199" s="63"/>
      <c r="S199" s="63"/>
      <c r="T199" s="63"/>
      <c r="U199" s="68"/>
      <c r="V199" s="63"/>
      <c r="W199" s="63"/>
      <c r="X199" s="309"/>
      <c r="Y199" s="63"/>
      <c r="Z199" s="63"/>
      <c r="AA199" s="63"/>
      <c r="AB199" s="63"/>
      <c r="AC199" s="63"/>
      <c r="AD199" s="8"/>
      <c r="AE199" s="142"/>
      <c r="AF199" s="142"/>
      <c r="AG199" s="142"/>
      <c r="AH199" s="142"/>
      <c r="AI199" s="203">
        <v>11</v>
      </c>
    </row>
    <row r="200" spans="1:35" s="203" customFormat="1" ht="11.45" customHeight="1">
      <c r="A200" s="572"/>
      <c r="B200" s="68"/>
      <c r="C200" s="68"/>
      <c r="N200" s="63"/>
      <c r="O200" s="68"/>
      <c r="P200" s="68"/>
      <c r="Q200" s="63"/>
      <c r="R200" s="63"/>
      <c r="S200" s="63"/>
      <c r="T200" s="63"/>
      <c r="U200" s="68"/>
      <c r="V200" s="63"/>
      <c r="W200" s="63"/>
      <c r="X200" s="309"/>
      <c r="Y200" s="63"/>
      <c r="Z200" s="63"/>
      <c r="AA200" s="63"/>
      <c r="AB200" s="63"/>
      <c r="AC200" s="63"/>
      <c r="AD200" s="8"/>
      <c r="AE200" s="142"/>
      <c r="AF200" s="142"/>
      <c r="AG200" s="142"/>
      <c r="AH200" s="142"/>
      <c r="AI200" s="203">
        <v>11</v>
      </c>
    </row>
    <row r="201" spans="1:35" ht="11.45" customHeight="1">
      <c r="AI201" s="11">
        <v>11</v>
      </c>
    </row>
    <row r="202" spans="1:35" ht="11.45" customHeight="1">
      <c r="AI202" s="11">
        <v>11</v>
      </c>
    </row>
    <row r="203" spans="1:35" ht="11.45" customHeight="1">
      <c r="AI203" s="11">
        <v>11</v>
      </c>
    </row>
    <row r="204" spans="1:35" ht="11.45" customHeight="1">
      <c r="A204" s="575"/>
      <c r="B204" s="11"/>
      <c r="N204" s="11"/>
      <c r="Q204" s="11"/>
      <c r="R204" s="11"/>
      <c r="S204" s="11"/>
      <c r="T204" s="11"/>
      <c r="V204" s="11"/>
      <c r="W204" s="11"/>
      <c r="X204" s="11"/>
      <c r="Y204" s="11"/>
      <c r="Z204" s="11"/>
      <c r="AA204" s="11"/>
      <c r="AB204" s="11"/>
      <c r="AC204" s="11"/>
      <c r="AD204" s="11"/>
      <c r="AE204" s="11"/>
      <c r="AF204" s="11"/>
      <c r="AG204" s="11"/>
      <c r="AH204" s="11"/>
      <c r="AI204" s="11">
        <v>11</v>
      </c>
    </row>
    <row r="205" spans="1:35" ht="11.45" customHeight="1">
      <c r="A205" s="575"/>
      <c r="B205" s="11"/>
      <c r="N205" s="11"/>
      <c r="Q205" s="11"/>
      <c r="R205" s="11"/>
      <c r="S205" s="11"/>
      <c r="T205" s="11"/>
      <c r="V205" s="11"/>
      <c r="W205" s="11"/>
      <c r="X205" s="11"/>
      <c r="Y205" s="11"/>
      <c r="Z205" s="11"/>
      <c r="AA205" s="11"/>
      <c r="AB205" s="11"/>
      <c r="AC205" s="11"/>
      <c r="AD205" s="11"/>
      <c r="AE205" s="11"/>
      <c r="AF205" s="11"/>
      <c r="AG205" s="11"/>
      <c r="AH205" s="11"/>
      <c r="AI205" s="11">
        <v>11</v>
      </c>
    </row>
    <row r="206" spans="1:35" ht="11.45" customHeight="1">
      <c r="A206" s="575"/>
      <c r="B206" s="11"/>
      <c r="N206" s="11"/>
      <c r="Q206" s="11"/>
      <c r="R206" s="11"/>
      <c r="S206" s="11"/>
      <c r="T206" s="11"/>
      <c r="V206" s="11"/>
      <c r="W206" s="11"/>
      <c r="X206" s="11"/>
      <c r="Y206" s="11"/>
      <c r="Z206" s="11"/>
      <c r="AA206" s="11"/>
      <c r="AB206" s="11"/>
      <c r="AC206" s="11"/>
      <c r="AD206" s="11"/>
      <c r="AE206" s="11"/>
      <c r="AF206" s="11"/>
      <c r="AG206" s="11"/>
      <c r="AH206" s="11"/>
      <c r="AI206" s="11">
        <v>11</v>
      </c>
    </row>
    <row r="207" spans="1:35" ht="11.45" customHeight="1">
      <c r="A207" s="575"/>
      <c r="B207" s="11"/>
      <c r="N207" s="11"/>
      <c r="Q207" s="11"/>
      <c r="R207" s="11"/>
      <c r="S207" s="11"/>
      <c r="T207" s="11"/>
      <c r="V207" s="11"/>
      <c r="W207" s="11"/>
      <c r="X207" s="11"/>
      <c r="Y207" s="11"/>
      <c r="Z207" s="11"/>
      <c r="AA207" s="11"/>
      <c r="AB207" s="11"/>
      <c r="AC207" s="11"/>
      <c r="AD207" s="11"/>
      <c r="AE207" s="11"/>
      <c r="AF207" s="11"/>
      <c r="AG207" s="11"/>
      <c r="AH207" s="11"/>
      <c r="AI207" s="11">
        <v>11</v>
      </c>
    </row>
    <row r="208" spans="1:35" ht="11.45" customHeight="1">
      <c r="A208" s="575"/>
      <c r="B208" s="11"/>
      <c r="N208" s="11"/>
      <c r="Q208" s="11"/>
      <c r="R208" s="11"/>
      <c r="S208" s="11"/>
      <c r="T208" s="11"/>
      <c r="V208" s="11"/>
      <c r="W208" s="11"/>
      <c r="X208" s="11"/>
      <c r="Y208" s="11"/>
      <c r="Z208" s="11"/>
      <c r="AA208" s="11"/>
      <c r="AB208" s="11"/>
      <c r="AC208" s="11"/>
      <c r="AD208" s="11"/>
      <c r="AE208" s="11"/>
      <c r="AF208" s="11"/>
      <c r="AG208" s="11"/>
      <c r="AH208" s="11"/>
      <c r="AI208" s="11">
        <v>11</v>
      </c>
    </row>
    <row r="209" spans="1:35" ht="11.45" customHeight="1">
      <c r="A209" s="575"/>
      <c r="B209" s="11"/>
      <c r="N209" s="11"/>
      <c r="Q209" s="11"/>
      <c r="R209" s="11"/>
      <c r="S209" s="11"/>
      <c r="T209" s="11"/>
      <c r="V209" s="11"/>
      <c r="W209" s="11"/>
      <c r="X209" s="11"/>
      <c r="Y209" s="11"/>
      <c r="Z209" s="11"/>
      <c r="AA209" s="11"/>
      <c r="AB209" s="11"/>
      <c r="AC209" s="11"/>
      <c r="AD209" s="11"/>
      <c r="AE209" s="11"/>
      <c r="AF209" s="11"/>
      <c r="AG209" s="11"/>
      <c r="AH209" s="11"/>
      <c r="AI209" s="11">
        <v>11</v>
      </c>
    </row>
    <row r="210" spans="1:35" ht="11.45" customHeight="1">
      <c r="A210" s="575"/>
      <c r="B210" s="11"/>
      <c r="N210" s="11"/>
      <c r="Q210" s="11"/>
      <c r="R210" s="11"/>
      <c r="S210" s="11"/>
      <c r="T210" s="11"/>
      <c r="V210" s="11"/>
      <c r="W210" s="11"/>
      <c r="X210" s="11"/>
      <c r="Y210" s="11"/>
      <c r="Z210" s="11"/>
      <c r="AA210" s="11"/>
      <c r="AB210" s="11"/>
      <c r="AC210" s="11"/>
      <c r="AD210" s="11"/>
      <c r="AE210" s="11"/>
      <c r="AF210" s="11"/>
      <c r="AG210" s="11"/>
      <c r="AH210" s="11"/>
      <c r="AI210" s="11">
        <v>11</v>
      </c>
    </row>
    <row r="211" spans="1:35" ht="11.45" customHeight="1">
      <c r="A211" s="575"/>
      <c r="B211" s="11"/>
      <c r="N211" s="11"/>
      <c r="Q211" s="11"/>
      <c r="R211" s="11"/>
      <c r="S211" s="11"/>
      <c r="T211" s="11"/>
      <c r="V211" s="11"/>
      <c r="W211" s="11"/>
      <c r="X211" s="11"/>
      <c r="Y211" s="11"/>
      <c r="Z211" s="11"/>
      <c r="AA211" s="11"/>
      <c r="AB211" s="11"/>
      <c r="AC211" s="11"/>
      <c r="AD211" s="11"/>
      <c r="AE211" s="11"/>
      <c r="AF211" s="11"/>
      <c r="AG211" s="11"/>
      <c r="AH211" s="11"/>
      <c r="AI211" s="11">
        <v>11</v>
      </c>
    </row>
    <row r="212" spans="1:35" ht="11.45" customHeight="1">
      <c r="A212" s="575"/>
      <c r="B212" s="11"/>
      <c r="N212" s="11"/>
      <c r="Q212" s="11"/>
      <c r="R212" s="11"/>
      <c r="S212" s="11"/>
      <c r="T212" s="11"/>
      <c r="V212" s="11"/>
      <c r="W212" s="11"/>
      <c r="X212" s="11"/>
      <c r="Y212" s="11"/>
      <c r="Z212" s="11"/>
      <c r="AA212" s="11"/>
      <c r="AB212" s="11"/>
      <c r="AC212" s="11"/>
      <c r="AD212" s="11"/>
      <c r="AE212" s="11"/>
      <c r="AF212" s="11"/>
      <c r="AG212" s="11"/>
      <c r="AH212" s="11"/>
      <c r="AI212" s="11">
        <v>11</v>
      </c>
    </row>
    <row r="213" spans="1:35" ht="11.45" customHeight="1">
      <c r="A213" s="575"/>
      <c r="B213" s="11"/>
      <c r="N213" s="11"/>
      <c r="Q213" s="11"/>
      <c r="R213" s="11"/>
      <c r="S213" s="11"/>
      <c r="T213" s="11"/>
      <c r="V213" s="11"/>
      <c r="W213" s="11"/>
      <c r="X213" s="11"/>
      <c r="Y213" s="11"/>
      <c r="Z213" s="11"/>
      <c r="AA213" s="11"/>
      <c r="AB213" s="11"/>
      <c r="AC213" s="11"/>
      <c r="AD213" s="11"/>
      <c r="AE213" s="11"/>
      <c r="AF213" s="11"/>
      <c r="AG213" s="11"/>
      <c r="AH213" s="11"/>
      <c r="AI213" s="11">
        <v>11</v>
      </c>
    </row>
    <row r="214" spans="1:35" ht="11.45" customHeight="1">
      <c r="A214" s="575"/>
      <c r="B214" s="11"/>
      <c r="N214" s="11"/>
      <c r="Q214" s="11"/>
      <c r="R214" s="11"/>
      <c r="S214" s="11"/>
      <c r="T214" s="11"/>
      <c r="V214" s="11"/>
      <c r="W214" s="11"/>
      <c r="X214" s="11"/>
      <c r="Y214" s="11"/>
      <c r="Z214" s="11"/>
      <c r="AA214" s="11"/>
      <c r="AB214" s="11"/>
      <c r="AC214" s="11"/>
      <c r="AD214" s="11"/>
      <c r="AE214" s="11"/>
      <c r="AF214" s="11"/>
      <c r="AG214" s="11"/>
      <c r="AH214" s="11"/>
      <c r="AI214" s="11">
        <v>11</v>
      </c>
    </row>
    <row r="215" spans="1:35" ht="11.25" hidden="1" customHeight="1">
      <c r="A215" s="572" t="s">
        <v>82</v>
      </c>
      <c r="B215" s="63">
        <v>0</v>
      </c>
      <c r="C215" s="68">
        <v>0</v>
      </c>
      <c r="D215" s="11">
        <v>3</v>
      </c>
      <c r="E215" s="11">
        <v>7</v>
      </c>
      <c r="F215" s="11">
        <v>54</v>
      </c>
      <c r="G215" s="11">
        <v>10</v>
      </c>
      <c r="H215" s="11">
        <v>0</v>
      </c>
      <c r="I215" s="11">
        <v>40</v>
      </c>
      <c r="J215" s="11">
        <v>0</v>
      </c>
      <c r="K215" s="11">
        <v>0</v>
      </c>
      <c r="L215" s="11">
        <v>0</v>
      </c>
      <c r="M215" s="11">
        <v>102</v>
      </c>
      <c r="N215" s="63">
        <v>9</v>
      </c>
      <c r="O215" s="68">
        <v>5</v>
      </c>
      <c r="P215" s="68">
        <v>3</v>
      </c>
      <c r="Q215" s="63">
        <v>3</v>
      </c>
      <c r="R215" s="63">
        <v>3</v>
      </c>
      <c r="S215" s="63">
        <v>3</v>
      </c>
      <c r="T215" s="63">
        <v>3</v>
      </c>
      <c r="U215" s="68">
        <v>10</v>
      </c>
      <c r="V215" s="63">
        <v>34</v>
      </c>
      <c r="W215" s="63">
        <v>9</v>
      </c>
      <c r="X215" s="309">
        <v>8</v>
      </c>
      <c r="Y215" s="63">
        <v>8</v>
      </c>
      <c r="Z215" s="63">
        <v>8</v>
      </c>
      <c r="AA215" s="63">
        <v>8</v>
      </c>
      <c r="AB215" s="63">
        <v>8</v>
      </c>
      <c r="AC215" s="63">
        <v>8</v>
      </c>
      <c r="AD215" s="8">
        <v>8</v>
      </c>
      <c r="AE215" s="8">
        <v>8</v>
      </c>
      <c r="AF215" s="8">
        <v>8</v>
      </c>
      <c r="AG215" s="8">
        <v>8</v>
      </c>
      <c r="AH215" s="8">
        <v>8</v>
      </c>
      <c r="AI215" s="11">
        <v>11</v>
      </c>
    </row>
  </sheetData>
  <sheetProtection formatColumns="0" formatRows="0" insertRows="0" deleteColumns="0" deleteRows="0" sort="0" autoFilter="0"/>
  <mergeCells count="9">
    <mergeCell ref="F45:G45"/>
    <mergeCell ref="E6:I6"/>
    <mergeCell ref="E7:I7"/>
    <mergeCell ref="F10:G10"/>
    <mergeCell ref="M10:M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xr:uid="{00000000-0002-0000-2500-000000000000}">
      <formula1>900</formula1>
    </dataValidation>
    <dataValidation type="decimal" allowBlank="1" showErrorMessage="1" errorTitle="Ошибка" error="Допускается ввод только неотрицательных чисел!" sqref="H32:L32 H2:L2 H15:L15 H17:L27 H30:L30 H41:L42 H38:L39"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L36" xr:uid="{00000000-0002-0000-2500-000002000000}">
      <formula1>900</formula1>
    </dataValidation>
    <dataValidation type="decimal" allowBlank="1" showErrorMessage="1" errorTitle="Ошибка" error="Допускается ввод только действительных чисел!" sqref="H31:L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L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D102"/>
  <sheetViews>
    <sheetView showGridLines="0" tabSelected="1" topLeftCell="C2" zoomScale="90" workbookViewId="0">
      <selection activeCell="J76" sqref="J76"/>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6" width="44" style="11" customWidth="1"/>
    <col min="17" max="17" width="73" style="11" customWidth="1"/>
    <col min="18" max="18" width="3" style="11" customWidth="1"/>
    <col min="19" max="29" width="10" style="11" customWidth="1"/>
    <col min="30" max="30" width="10.5703125" style="11" hidden="1"/>
  </cols>
  <sheetData>
    <row r="1" spans="1:30" s="63" customFormat="1" ht="22.5" hidden="1" customHeight="1">
      <c r="A1" s="303"/>
      <c r="B1" s="68"/>
      <c r="G1" s="63">
        <v>4</v>
      </c>
      <c r="I1" s="63">
        <v>4</v>
      </c>
      <c r="K1" s="63">
        <v>4</v>
      </c>
      <c r="M1" s="63">
        <v>4</v>
      </c>
      <c r="O1" s="63">
        <v>4</v>
      </c>
      <c r="Q1" s="63">
        <v>5</v>
      </c>
      <c r="AD1" s="63" t="s">
        <v>14</v>
      </c>
    </row>
    <row r="2" spans="1:30" ht="3" customHeight="1">
      <c r="AD2" s="11">
        <v>3</v>
      </c>
    </row>
    <row r="3" spans="1:30" ht="78.75" customHeight="1">
      <c r="D3" s="115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53"/>
      <c r="F3" s="1154"/>
      <c r="AD3" s="11">
        <v>75</v>
      </c>
    </row>
    <row r="4" spans="1:30" s="11" customFormat="1" ht="21" customHeight="1">
      <c r="A4" s="303"/>
      <c r="B4" s="68"/>
      <c r="D4" s="1268" t="str">
        <f>IF(org=0,"Не определено",org)</f>
        <v>Сургутское городское муниципальное унитарное предприятие "Горводоканал"</v>
      </c>
      <c r="E4" s="1269"/>
      <c r="F4" s="1270"/>
      <c r="AD4" s="11">
        <v>20</v>
      </c>
    </row>
    <row r="5" spans="1:30" ht="11.45" customHeight="1">
      <c r="H5" s="435"/>
      <c r="J5" s="435"/>
      <c r="L5" s="435"/>
      <c r="N5" s="435"/>
      <c r="P5" s="435"/>
      <c r="AD5" s="11">
        <v>11</v>
      </c>
    </row>
    <row r="6" spans="1:30" ht="1.1499999999999999" customHeight="1">
      <c r="E6" s="58"/>
      <c r="F6" s="356"/>
      <c r="G6" s="600"/>
      <c r="H6" s="600"/>
      <c r="I6" s="600" t="s">
        <v>117</v>
      </c>
      <c r="J6" s="600"/>
      <c r="K6" s="600" t="s">
        <v>123</v>
      </c>
      <c r="L6" s="600"/>
      <c r="M6" s="600" t="s">
        <v>125</v>
      </c>
      <c r="N6" s="600"/>
      <c r="O6" s="600" t="s">
        <v>127</v>
      </c>
      <c r="P6" s="600"/>
      <c r="AD6" s="11">
        <v>1</v>
      </c>
    </row>
    <row r="7" spans="1:30" ht="11.45" customHeight="1">
      <c r="D7" s="409"/>
      <c r="E7" s="1383" t="s">
        <v>105</v>
      </c>
      <c r="F7" s="1384"/>
      <c r="G7" s="1406" t="str">
        <f>IF(G6="","",INDEX(DIFFERENTIATION_UNMERGE_VD,MATCH(G6,DIFFERENTIATION_ID_DIFF,0)))</f>
        <v/>
      </c>
      <c r="H7" s="1407"/>
      <c r="I7" s="1406" t="str">
        <f>IF(I6="","",INDEX(DIFFERENTIATION_UNMERGE_VD,MATCH(I6,DIFFERENTIATION_ID_DIFF,0)))</f>
        <v>Холодное водоснабжение. Питьевая вода</v>
      </c>
      <c r="J7" s="1407"/>
      <c r="K7" s="1406" t="str">
        <f>IF(K6="","",INDEX(DIFFERENTIATION_UNMERGE_VD,MATCH(K6,DIFFERENTIATION_ID_DIFF,0)))</f>
        <v>Транспортировка. Питьевая вода</v>
      </c>
      <c r="L7" s="1407"/>
      <c r="M7" s="1406" t="str">
        <f>IF(M6="","",INDEX(DIFFERENTIATION_UNMERGE_VD,MATCH(M6,DIFFERENTIATION_ID_DIFF,0)))</f>
        <v>Подключение (технологическое присоединение) к централизованной системе водоснабжения</v>
      </c>
      <c r="N7" s="1407"/>
      <c r="O7" s="1406" t="str">
        <f>IF(O6="","",INDEX(DIFFERENTIATION_UNMERGE_VD,MATCH(O6,DIFFERENTIATION_ID_DIFF,0)))</f>
        <v>Холодное водоснабжение. Подвозная вода</v>
      </c>
      <c r="P7" s="1407"/>
      <c r="Q7" s="1224"/>
      <c r="AD7" s="11">
        <v>11</v>
      </c>
    </row>
    <row r="8" spans="1:30" ht="11.45" customHeight="1">
      <c r="D8" s="409"/>
      <c r="E8" s="1383" t="s">
        <v>568</v>
      </c>
      <c r="F8" s="1384"/>
      <c r="G8" s="1406" t="str">
        <f>IF(G6="","",INDEX(DIFFERENTIATION_UNMERGE_AREA,MATCH(G6,DIFFERENTIATION_ID_DIFF,0)))</f>
        <v/>
      </c>
      <c r="H8" s="1407"/>
      <c r="I8" s="1406" t="str">
        <f>IF(I6="","",INDEX(DIFFERENTIATION_UNMERGE_AREA,MATCH(I6,DIFFERENTIATION_ID_DIFF,0)))</f>
        <v>без дифференциации</v>
      </c>
      <c r="J8" s="1407"/>
      <c r="K8" s="1406" t="str">
        <f>IF(K6="","",INDEX(DIFFERENTIATION_UNMERGE_AREA,MATCH(K6,DIFFERENTIATION_ID_DIFF,0)))</f>
        <v>без дифференциации</v>
      </c>
      <c r="L8" s="1407"/>
      <c r="M8" s="1406" t="str">
        <f>IF(M6="","",INDEX(DIFFERENTIATION_UNMERGE_AREA,MATCH(M6,DIFFERENTIATION_ID_DIFF,0)))</f>
        <v>без дифференциации</v>
      </c>
      <c r="N8" s="1407"/>
      <c r="O8" s="1406" t="str">
        <f>IF(O6="","",INDEX(DIFFERENTIATION_UNMERGE_AREA,MATCH(O6,DIFFERENTIATION_ID_DIFF,0)))</f>
        <v>без дифференциации</v>
      </c>
      <c r="P8" s="1407"/>
      <c r="Q8" s="1229"/>
      <c r="AD8" s="11">
        <v>11</v>
      </c>
    </row>
    <row r="9" spans="1:30" ht="11.45" customHeight="1">
      <c r="D9" s="409"/>
      <c r="E9" s="1383" t="s">
        <v>569</v>
      </c>
      <c r="F9" s="1384"/>
      <c r="G9" s="1406" t="str">
        <f>IF(G6="","",INDEX(DIFFERENTIATION_UNMERGE_SYSTEM,MATCH(G6,DIFFERENTIATION_ID_DIFF,0)))</f>
        <v/>
      </c>
      <c r="H9" s="1407"/>
      <c r="I9" s="1406" t="str">
        <f>IF(I6="","",INDEX(DIFFERENTIATION_UNMERGE_SYSTEM,MATCH(I6,DIFFERENTIATION_ID_DIFF,0)))</f>
        <v>без дифференциации</v>
      </c>
      <c r="J9" s="1407"/>
      <c r="K9" s="1406" t="str">
        <f>IF(K6="","",INDEX(DIFFERENTIATION_UNMERGE_SYSTEM,MATCH(K6,DIFFERENTIATION_ID_DIFF,0)))</f>
        <v>без дифференциации</v>
      </c>
      <c r="L9" s="1407"/>
      <c r="M9" s="1406" t="str">
        <f>IF(M6="","",INDEX(DIFFERENTIATION_UNMERGE_SYSTEM,MATCH(M6,DIFFERENTIATION_ID_DIFF,0)))</f>
        <v>без дифференциации</v>
      </c>
      <c r="N9" s="1407"/>
      <c r="O9" s="1406" t="str">
        <f>IF(O6="","",INDEX(DIFFERENTIATION_UNMERGE_SYSTEM,MATCH(O6,DIFFERENTIATION_ID_DIFF,0)))</f>
        <v>без дифференциации</v>
      </c>
      <c r="P9" s="1407"/>
      <c r="Q9" s="1229"/>
      <c r="AD9" s="11">
        <v>11</v>
      </c>
    </row>
    <row r="10" spans="1:30" s="11" customFormat="1" ht="11.45" customHeight="1">
      <c r="A10" s="303"/>
      <c r="B10" s="68"/>
      <c r="D10" s="1123" t="s">
        <v>306</v>
      </c>
      <c r="E10" s="1146"/>
      <c r="F10" s="1146"/>
      <c r="G10" s="1146"/>
      <c r="H10" s="1146"/>
      <c r="I10" s="1146"/>
      <c r="J10" s="1"/>
      <c r="K10" s="399"/>
      <c r="L10" s="399"/>
      <c r="M10" s="399"/>
      <c r="N10" s="399"/>
      <c r="O10" s="399"/>
      <c r="P10" s="399"/>
      <c r="Q10" s="1229"/>
      <c r="AD10" s="11">
        <v>11</v>
      </c>
    </row>
    <row r="11" spans="1:30" s="11" customFormat="1" ht="24" customHeight="1">
      <c r="A11" s="1292"/>
      <c r="B11" s="1292"/>
      <c r="C11" s="4"/>
      <c r="D11" s="41" t="s">
        <v>88</v>
      </c>
      <c r="E11" s="41" t="s">
        <v>841</v>
      </c>
      <c r="F11" s="41" t="s">
        <v>570</v>
      </c>
      <c r="G11" s="41" t="s">
        <v>309</v>
      </c>
      <c r="H11" s="41" t="s">
        <v>396</v>
      </c>
      <c r="I11" s="41" t="s">
        <v>309</v>
      </c>
      <c r="J11" s="389" t="s">
        <v>396</v>
      </c>
      <c r="K11" s="41" t="s">
        <v>309</v>
      </c>
      <c r="L11" s="41" t="s">
        <v>396</v>
      </c>
      <c r="M11" s="41" t="s">
        <v>309</v>
      </c>
      <c r="N11" s="41" t="s">
        <v>396</v>
      </c>
      <c r="O11" s="41" t="s">
        <v>309</v>
      </c>
      <c r="P11" s="41" t="s">
        <v>396</v>
      </c>
      <c r="Q11" s="1279"/>
      <c r="R11" s="373"/>
      <c r="AD11" s="11">
        <v>23</v>
      </c>
    </row>
    <row r="12" spans="1:30" s="68" customFormat="1" ht="10.5" customHeight="1">
      <c r="A12" s="313"/>
      <c r="D12" s="313" t="s">
        <v>109</v>
      </c>
      <c r="E12" s="313" t="s">
        <v>110</v>
      </c>
      <c r="F12" s="313" t="s">
        <v>90</v>
      </c>
      <c r="G12" s="122" t="str">
        <f>G1&amp;".1"</f>
        <v>4.1</v>
      </c>
      <c r="H12" s="122" t="str">
        <f>G1&amp;".2"</f>
        <v>4.2</v>
      </c>
      <c r="I12" s="122" t="str">
        <f>I1&amp;".1"</f>
        <v>4.1</v>
      </c>
      <c r="J12" s="122" t="str">
        <f>I1&amp;".2"</f>
        <v>4.2</v>
      </c>
      <c r="K12" s="122" t="str">
        <f>K1&amp;".1"</f>
        <v>4.1</v>
      </c>
      <c r="L12" s="122" t="str">
        <f>K1&amp;".2"</f>
        <v>4.2</v>
      </c>
      <c r="M12" s="122" t="str">
        <f>M1&amp;".1"</f>
        <v>4.1</v>
      </c>
      <c r="N12" s="122" t="str">
        <f>M1&amp;".2"</f>
        <v>4.2</v>
      </c>
      <c r="O12" s="122" t="str">
        <f>O1&amp;".1"</f>
        <v>4.1</v>
      </c>
      <c r="P12" s="122" t="str">
        <f>O1&amp;".2"</f>
        <v>4.2</v>
      </c>
      <c r="Q12" s="122"/>
      <c r="AD12" s="68">
        <v>10</v>
      </c>
    </row>
    <row r="13" spans="1:30" ht="22.5" hidden="1" customHeight="1">
      <c r="A13" s="1408" t="s">
        <v>842</v>
      </c>
      <c r="D13" s="43" t="s">
        <v>109</v>
      </c>
      <c r="E13" s="153" t="s">
        <v>843</v>
      </c>
      <c r="F13" s="374" t="s">
        <v>844</v>
      </c>
      <c r="G13" s="321"/>
      <c r="H13" s="375"/>
      <c r="I13" s="321"/>
      <c r="J13" s="375"/>
      <c r="K13" s="321"/>
      <c r="L13" s="375"/>
      <c r="M13" s="321"/>
      <c r="N13" s="375"/>
      <c r="O13" s="321"/>
      <c r="P13" s="375"/>
      <c r="Q13" s="67" t="s">
        <v>845</v>
      </c>
      <c r="R13" s="417"/>
      <c r="AD13" s="11">
        <v>0</v>
      </c>
    </row>
    <row r="14" spans="1:30" ht="22.5" hidden="1" customHeight="1">
      <c r="A14" s="1408"/>
      <c r="D14" s="43" t="s">
        <v>110</v>
      </c>
      <c r="E14" s="153" t="s">
        <v>846</v>
      </c>
      <c r="F14" s="374" t="s">
        <v>847</v>
      </c>
      <c r="G14" s="321"/>
      <c r="H14" s="375"/>
      <c r="I14" s="321"/>
      <c r="J14" s="375"/>
      <c r="K14" s="321"/>
      <c r="L14" s="375"/>
      <c r="M14" s="321"/>
      <c r="N14" s="375"/>
      <c r="O14" s="321"/>
      <c r="P14" s="375"/>
      <c r="Q14" s="67" t="s">
        <v>848</v>
      </c>
      <c r="R14" s="417"/>
      <c r="AD14" s="11">
        <v>0</v>
      </c>
    </row>
    <row r="15" spans="1:30" s="11" customFormat="1" ht="78.75" hidden="1" customHeight="1">
      <c r="A15" s="1408"/>
      <c r="B15" s="68"/>
      <c r="D15" s="43" t="s">
        <v>90</v>
      </c>
      <c r="E15" s="153" t="s">
        <v>849</v>
      </c>
      <c r="F15" s="41" t="s">
        <v>312</v>
      </c>
      <c r="G15" s="41" t="s">
        <v>312</v>
      </c>
      <c r="H15" s="37"/>
      <c r="I15" s="41" t="s">
        <v>312</v>
      </c>
      <c r="J15" s="37"/>
      <c r="K15" s="41" t="s">
        <v>312</v>
      </c>
      <c r="L15" s="37"/>
      <c r="M15" s="41" t="s">
        <v>312</v>
      </c>
      <c r="N15" s="37"/>
      <c r="O15" s="41" t="s">
        <v>312</v>
      </c>
      <c r="P15" s="37"/>
      <c r="Q15" s="67" t="s">
        <v>850</v>
      </c>
      <c r="R15" s="417"/>
      <c r="AD15" s="11">
        <v>0</v>
      </c>
    </row>
    <row r="16" spans="1:30" s="11" customFormat="1" ht="22.5" hidden="1" customHeight="1">
      <c r="A16" s="1408"/>
      <c r="B16" s="68"/>
      <c r="D16" s="43" t="s">
        <v>330</v>
      </c>
      <c r="E16" s="323" t="s">
        <v>851</v>
      </c>
      <c r="F16" s="41" t="s">
        <v>852</v>
      </c>
      <c r="G16" s="468"/>
      <c r="H16" s="37"/>
      <c r="I16" s="468"/>
      <c r="J16" s="37"/>
      <c r="K16" s="468"/>
      <c r="L16" s="37"/>
      <c r="M16" s="468"/>
      <c r="N16" s="37"/>
      <c r="O16" s="468"/>
      <c r="P16" s="37"/>
      <c r="Q16" s="67"/>
      <c r="R16" s="417"/>
      <c r="AD16" s="11">
        <v>0</v>
      </c>
    </row>
    <row r="17" spans="1:30" s="11" customFormat="1" ht="22.5" hidden="1" customHeight="1">
      <c r="A17" s="1408"/>
      <c r="B17" s="68"/>
      <c r="D17" s="43" t="s">
        <v>338</v>
      </c>
      <c r="E17" s="323" t="s">
        <v>853</v>
      </c>
      <c r="F17" s="41" t="s">
        <v>854</v>
      </c>
      <c r="G17" s="468"/>
      <c r="H17" s="37"/>
      <c r="I17" s="468"/>
      <c r="J17" s="37"/>
      <c r="K17" s="468"/>
      <c r="L17" s="37"/>
      <c r="M17" s="468"/>
      <c r="N17" s="37"/>
      <c r="O17" s="468"/>
      <c r="P17" s="37"/>
      <c r="Q17" s="67"/>
      <c r="R17" s="417"/>
      <c r="AD17" s="11">
        <v>0</v>
      </c>
    </row>
    <row r="18" spans="1:30" s="11" customFormat="1" ht="33.75" hidden="1" customHeight="1">
      <c r="A18" s="1408"/>
      <c r="B18" s="68"/>
      <c r="D18" s="43" t="s">
        <v>340</v>
      </c>
      <c r="E18" s="323" t="s">
        <v>855</v>
      </c>
      <c r="F18" s="41" t="s">
        <v>575</v>
      </c>
      <c r="G18" s="386"/>
      <c r="H18" s="37"/>
      <c r="I18" s="386"/>
      <c r="J18" s="37"/>
      <c r="K18" s="386"/>
      <c r="L18" s="37"/>
      <c r="M18" s="386"/>
      <c r="N18" s="37"/>
      <c r="O18" s="386"/>
      <c r="P18" s="37"/>
      <c r="Q18" s="67"/>
      <c r="R18" s="417"/>
      <c r="AD18" s="11">
        <v>0</v>
      </c>
    </row>
    <row r="19" spans="1:30" ht="101.25" hidden="1" customHeight="1">
      <c r="A19" s="1408"/>
      <c r="D19" s="43" t="s">
        <v>91</v>
      </c>
      <c r="E19" s="153" t="s">
        <v>856</v>
      </c>
      <c r="F19" s="374" t="s">
        <v>550</v>
      </c>
      <c r="G19" s="217"/>
      <c r="H19" s="375"/>
      <c r="I19" s="217"/>
      <c r="J19" s="375"/>
      <c r="K19" s="217"/>
      <c r="L19" s="375"/>
      <c r="M19" s="217"/>
      <c r="N19" s="375"/>
      <c r="O19" s="217"/>
      <c r="P19" s="375"/>
      <c r="Q19" s="67" t="s">
        <v>857</v>
      </c>
      <c r="R19" s="417"/>
      <c r="AD19" s="11">
        <v>0</v>
      </c>
    </row>
    <row r="20" spans="1:30" s="11" customFormat="1" ht="18.75" hidden="1" customHeight="1">
      <c r="A20" s="1408"/>
      <c r="C20" s="77"/>
      <c r="D20" s="43" t="s">
        <v>776</v>
      </c>
      <c r="E20" s="323" t="s">
        <v>858</v>
      </c>
      <c r="F20" s="41" t="s">
        <v>312</v>
      </c>
      <c r="G20" s="41" t="s">
        <v>312</v>
      </c>
      <c r="H20" s="340" t="s">
        <v>312</v>
      </c>
      <c r="I20" s="41" t="s">
        <v>312</v>
      </c>
      <c r="J20" s="340" t="s">
        <v>312</v>
      </c>
      <c r="K20" s="41" t="s">
        <v>312</v>
      </c>
      <c r="L20" s="340" t="s">
        <v>312</v>
      </c>
      <c r="M20" s="41" t="s">
        <v>312</v>
      </c>
      <c r="N20" s="340" t="s">
        <v>312</v>
      </c>
      <c r="O20" s="41" t="s">
        <v>312</v>
      </c>
      <c r="P20" s="340" t="s">
        <v>312</v>
      </c>
      <c r="Q20" s="389"/>
      <c r="R20" s="417"/>
      <c r="AC20" s="302"/>
      <c r="AD20" s="11">
        <v>0</v>
      </c>
    </row>
    <row r="21" spans="1:30" s="11" customFormat="1" ht="33.75" hidden="1" customHeight="1">
      <c r="A21" s="1408"/>
      <c r="C21" s="77"/>
      <c r="D21" s="43" t="s">
        <v>779</v>
      </c>
      <c r="E21" s="338" t="s">
        <v>859</v>
      </c>
      <c r="F21" s="41" t="s">
        <v>860</v>
      </c>
      <c r="G21" s="386"/>
      <c r="H21" s="37"/>
      <c r="I21" s="386"/>
      <c r="J21" s="37"/>
      <c r="K21" s="386"/>
      <c r="L21" s="37"/>
      <c r="M21" s="386"/>
      <c r="N21" s="37"/>
      <c r="O21" s="386"/>
      <c r="P21" s="37"/>
      <c r="Q21" s="389"/>
      <c r="R21" s="417"/>
      <c r="AC21" s="302"/>
      <c r="AD21" s="11">
        <v>0</v>
      </c>
    </row>
    <row r="22" spans="1:30" s="11" customFormat="1" ht="33.75" hidden="1" customHeight="1">
      <c r="A22" s="1408"/>
      <c r="C22" s="77"/>
      <c r="D22" s="43" t="s">
        <v>782</v>
      </c>
      <c r="E22" s="338" t="s">
        <v>861</v>
      </c>
      <c r="F22" s="41" t="s">
        <v>862</v>
      </c>
      <c r="G22" s="386"/>
      <c r="H22" s="37"/>
      <c r="I22" s="386"/>
      <c r="J22" s="37"/>
      <c r="K22" s="386"/>
      <c r="L22" s="37"/>
      <c r="M22" s="386"/>
      <c r="N22" s="37"/>
      <c r="O22" s="386"/>
      <c r="P22" s="37"/>
      <c r="Q22" s="389"/>
      <c r="R22" s="417"/>
      <c r="AC22" s="302"/>
      <c r="AD22" s="11">
        <v>0</v>
      </c>
    </row>
    <row r="23" spans="1:30" s="11" customFormat="1" ht="22.5" hidden="1" customHeight="1">
      <c r="A23" s="1408"/>
      <c r="C23" s="77"/>
      <c r="D23" s="43" t="s">
        <v>820</v>
      </c>
      <c r="E23" s="323" t="s">
        <v>863</v>
      </c>
      <c r="F23" s="41" t="s">
        <v>312</v>
      </c>
      <c r="G23" s="41" t="s">
        <v>312</v>
      </c>
      <c r="H23" s="340" t="s">
        <v>312</v>
      </c>
      <c r="I23" s="41" t="s">
        <v>312</v>
      </c>
      <c r="J23" s="340" t="s">
        <v>312</v>
      </c>
      <c r="K23" s="41" t="s">
        <v>312</v>
      </c>
      <c r="L23" s="340" t="s">
        <v>312</v>
      </c>
      <c r="M23" s="41" t="s">
        <v>312</v>
      </c>
      <c r="N23" s="340" t="s">
        <v>312</v>
      </c>
      <c r="O23" s="41" t="s">
        <v>312</v>
      </c>
      <c r="P23" s="340" t="s">
        <v>312</v>
      </c>
      <c r="Q23" s="389"/>
      <c r="R23" s="417"/>
      <c r="AC23" s="302"/>
      <c r="AD23" s="11">
        <v>0</v>
      </c>
    </row>
    <row r="24" spans="1:30" s="11" customFormat="1" ht="22.5" hidden="1" customHeight="1">
      <c r="A24" s="1408"/>
      <c r="C24" s="77"/>
      <c r="D24" s="43" t="s">
        <v>864</v>
      </c>
      <c r="E24" s="338" t="s">
        <v>865</v>
      </c>
      <c r="F24" s="41" t="s">
        <v>866</v>
      </c>
      <c r="G24" s="386"/>
      <c r="H24" s="391"/>
      <c r="I24" s="386"/>
      <c r="J24" s="391"/>
      <c r="K24" s="386"/>
      <c r="L24" s="391"/>
      <c r="M24" s="386"/>
      <c r="N24" s="391"/>
      <c r="O24" s="386"/>
      <c r="P24" s="391"/>
      <c r="Q24" s="389"/>
      <c r="R24" s="417"/>
      <c r="AC24" s="302"/>
      <c r="AD24" s="11">
        <v>0</v>
      </c>
    </row>
    <row r="25" spans="1:30" s="11" customFormat="1" ht="22.5" hidden="1" customHeight="1">
      <c r="A25" s="1408"/>
      <c r="C25" s="77"/>
      <c r="D25" s="43" t="s">
        <v>867</v>
      </c>
      <c r="E25" s="338" t="s">
        <v>868</v>
      </c>
      <c r="F25" s="41" t="s">
        <v>312</v>
      </c>
      <c r="G25" s="41" t="s">
        <v>312</v>
      </c>
      <c r="H25" s="340" t="s">
        <v>312</v>
      </c>
      <c r="I25" s="41" t="s">
        <v>312</v>
      </c>
      <c r="J25" s="340" t="s">
        <v>312</v>
      </c>
      <c r="K25" s="41" t="s">
        <v>312</v>
      </c>
      <c r="L25" s="340" t="s">
        <v>312</v>
      </c>
      <c r="M25" s="41" t="s">
        <v>312</v>
      </c>
      <c r="N25" s="340" t="s">
        <v>312</v>
      </c>
      <c r="O25" s="41" t="s">
        <v>312</v>
      </c>
      <c r="P25" s="340" t="s">
        <v>312</v>
      </c>
      <c r="Q25" s="389"/>
      <c r="R25" s="417"/>
      <c r="AC25" s="302"/>
      <c r="AD25" s="11">
        <v>0</v>
      </c>
    </row>
    <row r="26" spans="1:30" s="11" customFormat="1" ht="18.75" hidden="1" customHeight="1">
      <c r="A26" s="1408"/>
      <c r="C26" s="77"/>
      <c r="D26" s="43" t="s">
        <v>869</v>
      </c>
      <c r="E26" s="318" t="s">
        <v>870</v>
      </c>
      <c r="F26" s="41" t="s">
        <v>871</v>
      </c>
      <c r="G26" s="386"/>
      <c r="H26" s="391"/>
      <c r="I26" s="386"/>
      <c r="J26" s="391"/>
      <c r="K26" s="386"/>
      <c r="L26" s="391"/>
      <c r="M26" s="386"/>
      <c r="N26" s="391"/>
      <c r="O26" s="386"/>
      <c r="P26" s="391"/>
      <c r="Q26" s="389"/>
      <c r="R26" s="417"/>
      <c r="AC26" s="302"/>
      <c r="AD26" s="11">
        <v>0</v>
      </c>
    </row>
    <row r="27" spans="1:30" s="11" customFormat="1" ht="18.75" hidden="1" customHeight="1">
      <c r="A27" s="1408"/>
      <c r="C27" s="77"/>
      <c r="D27" s="43" t="s">
        <v>872</v>
      </c>
      <c r="E27" s="318" t="s">
        <v>873</v>
      </c>
      <c r="F27" s="41" t="s">
        <v>874</v>
      </c>
      <c r="G27" s="386"/>
      <c r="H27" s="391"/>
      <c r="I27" s="386"/>
      <c r="J27" s="391"/>
      <c r="K27" s="386"/>
      <c r="L27" s="391"/>
      <c r="M27" s="386"/>
      <c r="N27" s="391"/>
      <c r="O27" s="386"/>
      <c r="P27" s="391"/>
      <c r="Q27" s="389"/>
      <c r="R27" s="417"/>
      <c r="AC27" s="302"/>
      <c r="AD27" s="11">
        <v>0</v>
      </c>
    </row>
    <row r="28" spans="1:30" s="11" customFormat="1" ht="18.75" hidden="1" customHeight="1">
      <c r="A28" s="1408"/>
      <c r="C28" s="77"/>
      <c r="D28" s="43" t="s">
        <v>875</v>
      </c>
      <c r="E28" s="338" t="s">
        <v>876</v>
      </c>
      <c r="F28" s="41" t="s">
        <v>312</v>
      </c>
      <c r="G28" s="41" t="s">
        <v>312</v>
      </c>
      <c r="H28" s="340" t="s">
        <v>312</v>
      </c>
      <c r="I28" s="41" t="s">
        <v>312</v>
      </c>
      <c r="J28" s="340" t="s">
        <v>312</v>
      </c>
      <c r="K28" s="41" t="s">
        <v>312</v>
      </c>
      <c r="L28" s="340" t="s">
        <v>312</v>
      </c>
      <c r="M28" s="41" t="s">
        <v>312</v>
      </c>
      <c r="N28" s="340" t="s">
        <v>312</v>
      </c>
      <c r="O28" s="41" t="s">
        <v>312</v>
      </c>
      <c r="P28" s="340" t="s">
        <v>312</v>
      </c>
      <c r="Q28" s="389"/>
      <c r="R28" s="417"/>
      <c r="AC28" s="302"/>
      <c r="AD28" s="11">
        <v>0</v>
      </c>
    </row>
    <row r="29" spans="1:30" s="11" customFormat="1" ht="18.75" hidden="1" customHeight="1">
      <c r="A29" s="1408"/>
      <c r="C29" s="77"/>
      <c r="D29" s="43" t="s">
        <v>877</v>
      </c>
      <c r="E29" s="318" t="s">
        <v>870</v>
      </c>
      <c r="F29" s="41" t="s">
        <v>878</v>
      </c>
      <c r="G29" s="386"/>
      <c r="H29" s="391"/>
      <c r="I29" s="386"/>
      <c r="J29" s="391"/>
      <c r="K29" s="386"/>
      <c r="L29" s="391"/>
      <c r="M29" s="386"/>
      <c r="N29" s="391"/>
      <c r="O29" s="386"/>
      <c r="P29" s="391"/>
      <c r="Q29" s="389"/>
      <c r="R29" s="417"/>
      <c r="AC29" s="302"/>
      <c r="AD29" s="11">
        <v>0</v>
      </c>
    </row>
    <row r="30" spans="1:30" s="11" customFormat="1" ht="18.75" hidden="1" customHeight="1">
      <c r="A30" s="1408"/>
      <c r="C30" s="77"/>
      <c r="D30" s="43" t="s">
        <v>879</v>
      </c>
      <c r="E30" s="318" t="s">
        <v>880</v>
      </c>
      <c r="F30" s="41" t="s">
        <v>881</v>
      </c>
      <c r="G30" s="386"/>
      <c r="H30" s="391"/>
      <c r="I30" s="386"/>
      <c r="J30" s="391"/>
      <c r="K30" s="386"/>
      <c r="L30" s="391"/>
      <c r="M30" s="386"/>
      <c r="N30" s="391"/>
      <c r="O30" s="386"/>
      <c r="P30" s="391"/>
      <c r="Q30" s="389"/>
      <c r="R30" s="417"/>
      <c r="AC30" s="302"/>
      <c r="AD30" s="11">
        <v>0</v>
      </c>
    </row>
    <row r="31" spans="1:30" ht="126.75" hidden="1" customHeight="1">
      <c r="A31" s="1408"/>
      <c r="D31" s="43" t="s">
        <v>111</v>
      </c>
      <c r="E31" s="153" t="s">
        <v>882</v>
      </c>
      <c r="F31" s="374" t="s">
        <v>562</v>
      </c>
      <c r="G31" s="321"/>
      <c r="H31" s="375"/>
      <c r="I31" s="321"/>
      <c r="J31" s="375"/>
      <c r="K31" s="321"/>
      <c r="L31" s="375"/>
      <c r="M31" s="321"/>
      <c r="N31" s="375"/>
      <c r="O31" s="321"/>
      <c r="P31" s="375"/>
      <c r="Q31" s="67" t="s">
        <v>883</v>
      </c>
      <c r="R31" s="417"/>
      <c r="AD31" s="11">
        <v>0</v>
      </c>
    </row>
    <row r="32" spans="1:30" ht="56.25" hidden="1" customHeight="1">
      <c r="A32" s="1408"/>
      <c r="D32" s="43" t="s">
        <v>92</v>
      </c>
      <c r="E32" s="153" t="s">
        <v>884</v>
      </c>
      <c r="F32" s="43" t="s">
        <v>854</v>
      </c>
      <c r="G32" s="321"/>
      <c r="H32" s="375"/>
      <c r="I32" s="321"/>
      <c r="J32" s="375"/>
      <c r="K32" s="321"/>
      <c r="L32" s="375"/>
      <c r="M32" s="321"/>
      <c r="N32" s="375"/>
      <c r="O32" s="321"/>
      <c r="P32" s="375"/>
      <c r="Q32" s="67" t="s">
        <v>885</v>
      </c>
      <c r="R32" s="417"/>
      <c r="AD32" s="11">
        <v>0</v>
      </c>
    </row>
    <row r="33" spans="1:30" ht="11.25" hidden="1" customHeight="1">
      <c r="A33" s="1408"/>
      <c r="E33" s="376"/>
      <c r="F33" s="92"/>
      <c r="G33" s="92"/>
      <c r="H33" s="92"/>
      <c r="I33" s="92"/>
      <c r="J33" s="92"/>
      <c r="K33" s="92"/>
      <c r="L33" s="92"/>
      <c r="M33" s="92"/>
      <c r="N33" s="92"/>
      <c r="O33" s="92"/>
      <c r="P33" s="92"/>
      <c r="Q33" s="92"/>
      <c r="AD33" s="11">
        <v>0</v>
      </c>
    </row>
    <row r="34" spans="1:30" ht="12.75" hidden="1" customHeight="1">
      <c r="A34" s="1408"/>
      <c r="D34" s="4">
        <v>1</v>
      </c>
      <c r="E34" s="197" t="s">
        <v>886</v>
      </c>
      <c r="AD34" s="11">
        <v>0</v>
      </c>
    </row>
    <row r="35" spans="1:30" ht="11.25" hidden="1" customHeight="1">
      <c r="A35" s="1408"/>
      <c r="D35" s="4"/>
      <c r="E35" s="197" t="s">
        <v>887</v>
      </c>
      <c r="AD35" s="11">
        <v>0</v>
      </c>
    </row>
    <row r="36" spans="1:30" s="11" customFormat="1" ht="11.45" customHeight="1">
      <c r="A36" s="303"/>
      <c r="B36" s="68"/>
      <c r="D36" s="4"/>
      <c r="E36" s="197"/>
      <c r="AD36" s="11">
        <v>11</v>
      </c>
    </row>
    <row r="37" spans="1:30" s="11" customFormat="1" ht="22.5" customHeight="1">
      <c r="A37" s="1408" t="s">
        <v>888</v>
      </c>
      <c r="B37" s="68"/>
      <c r="D37" s="43">
        <v>1</v>
      </c>
      <c r="E37" s="153" t="s">
        <v>889</v>
      </c>
      <c r="F37" s="374" t="s">
        <v>844</v>
      </c>
      <c r="G37" s="321"/>
      <c r="H37" s="295"/>
      <c r="I37" s="321">
        <v>0</v>
      </c>
      <c r="J37" s="295"/>
      <c r="K37" s="321">
        <v>0</v>
      </c>
      <c r="L37" s="295"/>
      <c r="M37" s="321">
        <v>0</v>
      </c>
      <c r="N37" s="295"/>
      <c r="O37" s="321">
        <v>0</v>
      </c>
      <c r="P37" s="295"/>
      <c r="Q37" s="67" t="s">
        <v>890</v>
      </c>
      <c r="AD37" s="11">
        <v>0</v>
      </c>
    </row>
    <row r="38" spans="1:30" s="11" customFormat="1" ht="22.5" customHeight="1">
      <c r="A38" s="1408"/>
      <c r="B38" s="68"/>
      <c r="D38" s="381" t="s">
        <v>110</v>
      </c>
      <c r="E38" s="608" t="s">
        <v>891</v>
      </c>
      <c r="F38" s="609" t="s">
        <v>550</v>
      </c>
      <c r="G38" s="609" t="s">
        <v>550</v>
      </c>
      <c r="H38" s="606"/>
      <c r="I38" s="609" t="s">
        <v>550</v>
      </c>
      <c r="J38" s="606"/>
      <c r="K38" s="609" t="s">
        <v>550</v>
      </c>
      <c r="L38" s="606"/>
      <c r="M38" s="609" t="s">
        <v>550</v>
      </c>
      <c r="N38" s="606"/>
      <c r="O38" s="609" t="s">
        <v>550</v>
      </c>
      <c r="P38" s="606"/>
      <c r="Q38" s="607"/>
      <c r="AD38" s="11">
        <v>0</v>
      </c>
    </row>
    <row r="39" spans="1:30" s="11" customFormat="1" ht="33.75" customHeight="1">
      <c r="A39" s="1408"/>
      <c r="B39" s="68"/>
      <c r="D39" s="377" t="s">
        <v>728</v>
      </c>
      <c r="E39" s="420" t="s">
        <v>892</v>
      </c>
      <c r="F39" s="374" t="s">
        <v>893</v>
      </c>
      <c r="G39" s="380"/>
      <c r="H39" s="601"/>
      <c r="I39" s="380">
        <v>0</v>
      </c>
      <c r="J39" s="601"/>
      <c r="K39" s="380">
        <v>0</v>
      </c>
      <c r="L39" s="601"/>
      <c r="M39" s="380">
        <v>0</v>
      </c>
      <c r="N39" s="601"/>
      <c r="O39" s="380">
        <v>0</v>
      </c>
      <c r="P39" s="601"/>
      <c r="Q39" s="67" t="s">
        <v>894</v>
      </c>
      <c r="AD39" s="11">
        <v>0</v>
      </c>
    </row>
    <row r="40" spans="1:30" s="11" customFormat="1" ht="33.75" customHeight="1">
      <c r="A40" s="1408"/>
      <c r="B40" s="68"/>
      <c r="D40" s="377" t="s">
        <v>731</v>
      </c>
      <c r="E40" s="420" t="s">
        <v>895</v>
      </c>
      <c r="F40" s="603" t="s">
        <v>896</v>
      </c>
      <c r="G40" s="429"/>
      <c r="H40" s="601"/>
      <c r="I40" s="429">
        <v>0</v>
      </c>
      <c r="J40" s="601"/>
      <c r="K40" s="429">
        <v>0</v>
      </c>
      <c r="L40" s="601"/>
      <c r="M40" s="429">
        <v>0</v>
      </c>
      <c r="N40" s="601"/>
      <c r="O40" s="429">
        <v>0</v>
      </c>
      <c r="P40" s="601"/>
      <c r="Q40" s="67" t="s">
        <v>897</v>
      </c>
      <c r="AD40" s="11">
        <v>0</v>
      </c>
    </row>
    <row r="41" spans="1:30" s="11" customFormat="1" ht="22.5" customHeight="1">
      <c r="A41" s="1408"/>
      <c r="B41" s="68"/>
      <c r="D41" s="377" t="s">
        <v>90</v>
      </c>
      <c r="E41" s="419" t="s">
        <v>898</v>
      </c>
      <c r="F41" s="374" t="s">
        <v>550</v>
      </c>
      <c r="G41" s="374" t="s">
        <v>550</v>
      </c>
      <c r="H41" s="602"/>
      <c r="I41" s="374" t="s">
        <v>550</v>
      </c>
      <c r="J41" s="602"/>
      <c r="K41" s="374" t="s">
        <v>550</v>
      </c>
      <c r="L41" s="602"/>
      <c r="M41" s="374" t="s">
        <v>550</v>
      </c>
      <c r="N41" s="602"/>
      <c r="O41" s="374" t="s">
        <v>550</v>
      </c>
      <c r="P41" s="602"/>
      <c r="Q41" s="173"/>
      <c r="AD41" s="11">
        <v>0</v>
      </c>
    </row>
    <row r="42" spans="1:30" s="11" customFormat="1" ht="45" customHeight="1">
      <c r="A42" s="1408"/>
      <c r="B42" s="68"/>
      <c r="D42" s="377" t="s">
        <v>330</v>
      </c>
      <c r="E42" s="420" t="s">
        <v>899</v>
      </c>
      <c r="F42" s="374" t="s">
        <v>562</v>
      </c>
      <c r="G42" s="321"/>
      <c r="H42" s="602"/>
      <c r="I42" s="321">
        <v>0</v>
      </c>
      <c r="J42" s="602"/>
      <c r="K42" s="321">
        <v>0</v>
      </c>
      <c r="L42" s="602"/>
      <c r="M42" s="321">
        <v>0</v>
      </c>
      <c r="N42" s="602"/>
      <c r="O42" s="321">
        <v>0</v>
      </c>
      <c r="P42" s="602"/>
      <c r="Q42" s="173" t="s">
        <v>900</v>
      </c>
      <c r="AD42" s="11">
        <v>0</v>
      </c>
    </row>
    <row r="43" spans="1:30" s="11" customFormat="1" ht="45" customHeight="1">
      <c r="A43" s="1408"/>
      <c r="B43" s="68"/>
      <c r="D43" s="377" t="s">
        <v>338</v>
      </c>
      <c r="E43" s="379" t="s">
        <v>901</v>
      </c>
      <c r="F43" s="604" t="s">
        <v>562</v>
      </c>
      <c r="G43" s="430"/>
      <c r="H43" s="601"/>
      <c r="I43" s="430">
        <v>0</v>
      </c>
      <c r="J43" s="601"/>
      <c r="K43" s="430">
        <v>0</v>
      </c>
      <c r="L43" s="601"/>
      <c r="M43" s="430">
        <v>0</v>
      </c>
      <c r="N43" s="601"/>
      <c r="O43" s="430">
        <v>0</v>
      </c>
      <c r="P43" s="601"/>
      <c r="Q43" s="173" t="s">
        <v>902</v>
      </c>
      <c r="AD43" s="11">
        <v>0</v>
      </c>
    </row>
    <row r="44" spans="1:30" s="11" customFormat="1" ht="11.25" customHeight="1">
      <c r="A44" s="1408"/>
      <c r="B44" s="68"/>
      <c r="D44" s="377" t="s">
        <v>91</v>
      </c>
      <c r="E44" s="378" t="s">
        <v>903</v>
      </c>
      <c r="F44" s="374" t="s">
        <v>893</v>
      </c>
      <c r="G44" s="380"/>
      <c r="H44" s="601"/>
      <c r="I44" s="380">
        <v>5945</v>
      </c>
      <c r="J44" s="601"/>
      <c r="K44" s="380">
        <v>0</v>
      </c>
      <c r="L44" s="601"/>
      <c r="M44" s="380">
        <v>0</v>
      </c>
      <c r="N44" s="601"/>
      <c r="O44" s="380">
        <v>0</v>
      </c>
      <c r="P44" s="601"/>
      <c r="Q44" s="67"/>
      <c r="AD44" s="11">
        <v>0</v>
      </c>
    </row>
    <row r="45" spans="1:30" s="11" customFormat="1" ht="11.25" customHeight="1">
      <c r="A45" s="1408"/>
      <c r="B45" s="68"/>
      <c r="D45" s="377" t="s">
        <v>776</v>
      </c>
      <c r="E45" s="379" t="s">
        <v>904</v>
      </c>
      <c r="F45" s="374" t="s">
        <v>893</v>
      </c>
      <c r="G45" s="380"/>
      <c r="H45" s="601"/>
      <c r="I45" s="380">
        <v>1980</v>
      </c>
      <c r="J45" s="601"/>
      <c r="K45" s="380">
        <v>0</v>
      </c>
      <c r="L45" s="601"/>
      <c r="M45" s="380">
        <v>0</v>
      </c>
      <c r="N45" s="601"/>
      <c r="O45" s="380">
        <v>0</v>
      </c>
      <c r="P45" s="601"/>
      <c r="Q45" s="67"/>
      <c r="AD45" s="11">
        <v>0</v>
      </c>
    </row>
    <row r="46" spans="1:30" s="11" customFormat="1" ht="11.25" customHeight="1">
      <c r="A46" s="1408"/>
      <c r="B46" s="68"/>
      <c r="D46" s="377" t="s">
        <v>820</v>
      </c>
      <c r="E46" s="379" t="s">
        <v>905</v>
      </c>
      <c r="F46" s="374" t="s">
        <v>893</v>
      </c>
      <c r="G46" s="380"/>
      <c r="H46" s="601"/>
      <c r="I46" s="380">
        <v>1980</v>
      </c>
      <c r="J46" s="601"/>
      <c r="K46" s="380">
        <v>0</v>
      </c>
      <c r="L46" s="601"/>
      <c r="M46" s="380">
        <v>0</v>
      </c>
      <c r="N46" s="601"/>
      <c r="O46" s="380">
        <v>0</v>
      </c>
      <c r="P46" s="601"/>
      <c r="Q46" s="67"/>
      <c r="AD46" s="11">
        <v>0</v>
      </c>
    </row>
    <row r="47" spans="1:30" s="11" customFormat="1" ht="11.25" customHeight="1">
      <c r="A47" s="1408"/>
      <c r="B47" s="68"/>
      <c r="D47" s="377" t="s">
        <v>823</v>
      </c>
      <c r="E47" s="379" t="s">
        <v>906</v>
      </c>
      <c r="F47" s="374" t="s">
        <v>893</v>
      </c>
      <c r="G47" s="380"/>
      <c r="H47" s="601"/>
      <c r="I47" s="380">
        <v>0</v>
      </c>
      <c r="J47" s="601"/>
      <c r="K47" s="380">
        <v>0</v>
      </c>
      <c r="L47" s="601"/>
      <c r="M47" s="380">
        <v>0</v>
      </c>
      <c r="N47" s="601"/>
      <c r="O47" s="380">
        <v>0</v>
      </c>
      <c r="P47" s="601"/>
      <c r="Q47" s="67"/>
      <c r="AD47" s="11">
        <v>0</v>
      </c>
    </row>
    <row r="48" spans="1:30" s="11" customFormat="1" ht="11.25" customHeight="1">
      <c r="A48" s="1408"/>
      <c r="B48" s="68"/>
      <c r="D48" s="377" t="s">
        <v>907</v>
      </c>
      <c r="E48" s="382" t="s">
        <v>908</v>
      </c>
      <c r="F48" s="374" t="s">
        <v>893</v>
      </c>
      <c r="G48" s="380"/>
      <c r="H48" s="601"/>
      <c r="I48" s="380">
        <v>0</v>
      </c>
      <c r="J48" s="601"/>
      <c r="K48" s="380">
        <v>0</v>
      </c>
      <c r="L48" s="601"/>
      <c r="M48" s="380">
        <v>0</v>
      </c>
      <c r="N48" s="601"/>
      <c r="O48" s="380">
        <v>0</v>
      </c>
      <c r="P48" s="601"/>
      <c r="Q48" s="67"/>
      <c r="AD48" s="11">
        <v>0</v>
      </c>
    </row>
    <row r="49" spans="1:30" s="11" customFormat="1" ht="11.25" customHeight="1">
      <c r="A49" s="1408"/>
      <c r="B49" s="68"/>
      <c r="D49" s="377" t="s">
        <v>909</v>
      </c>
      <c r="E49" s="382" t="s">
        <v>910</v>
      </c>
      <c r="F49" s="374" t="s">
        <v>893</v>
      </c>
      <c r="G49" s="380"/>
      <c r="H49" s="601"/>
      <c r="I49" s="380">
        <v>0</v>
      </c>
      <c r="J49" s="601"/>
      <c r="K49" s="380">
        <v>0</v>
      </c>
      <c r="L49" s="601"/>
      <c r="M49" s="380">
        <v>0</v>
      </c>
      <c r="N49" s="601"/>
      <c r="O49" s="380">
        <v>0</v>
      </c>
      <c r="P49" s="601"/>
      <c r="Q49" s="67"/>
      <c r="AD49" s="11">
        <v>0</v>
      </c>
    </row>
    <row r="50" spans="1:30" s="11" customFormat="1" ht="11.25" customHeight="1">
      <c r="A50" s="1408"/>
      <c r="B50" s="68"/>
      <c r="D50" s="377" t="s">
        <v>911</v>
      </c>
      <c r="E50" s="379" t="s">
        <v>912</v>
      </c>
      <c r="F50" s="374" t="s">
        <v>893</v>
      </c>
      <c r="G50" s="380"/>
      <c r="H50" s="601"/>
      <c r="I50" s="380">
        <v>1985</v>
      </c>
      <c r="J50" s="601"/>
      <c r="K50" s="380">
        <v>0</v>
      </c>
      <c r="L50" s="601"/>
      <c r="M50" s="380">
        <v>0</v>
      </c>
      <c r="N50" s="601"/>
      <c r="O50" s="380">
        <v>0</v>
      </c>
      <c r="P50" s="601"/>
      <c r="Q50" s="67"/>
      <c r="AD50" s="11">
        <v>0</v>
      </c>
    </row>
    <row r="51" spans="1:30" s="11" customFormat="1" ht="11.25" customHeight="1">
      <c r="A51" s="1408"/>
      <c r="B51" s="68"/>
      <c r="D51" s="377" t="s">
        <v>913</v>
      </c>
      <c r="E51" s="379" t="s">
        <v>914</v>
      </c>
      <c r="F51" s="374" t="s">
        <v>893</v>
      </c>
      <c r="G51" s="380"/>
      <c r="H51" s="601"/>
      <c r="I51" s="380">
        <v>0</v>
      </c>
      <c r="J51" s="601"/>
      <c r="K51" s="380">
        <v>0</v>
      </c>
      <c r="L51" s="601"/>
      <c r="M51" s="380">
        <v>0</v>
      </c>
      <c r="N51" s="601"/>
      <c r="O51" s="380">
        <v>0</v>
      </c>
      <c r="P51" s="601"/>
      <c r="Q51" s="67"/>
      <c r="AD51" s="11">
        <v>0</v>
      </c>
    </row>
    <row r="52" spans="1:30" s="11" customFormat="1" ht="45" customHeight="1">
      <c r="A52" s="1408"/>
      <c r="B52" s="68"/>
      <c r="D52" s="377" t="s">
        <v>111</v>
      </c>
      <c r="E52" s="378" t="s">
        <v>915</v>
      </c>
      <c r="F52" s="374" t="s">
        <v>893</v>
      </c>
      <c r="G52" s="380"/>
      <c r="H52" s="601"/>
      <c r="I52" s="380">
        <v>0</v>
      </c>
      <c r="J52" s="601"/>
      <c r="K52" s="380">
        <v>0</v>
      </c>
      <c r="L52" s="601"/>
      <c r="M52" s="380">
        <v>0</v>
      </c>
      <c r="N52" s="601"/>
      <c r="O52" s="380">
        <v>0</v>
      </c>
      <c r="P52" s="601"/>
      <c r="Q52" s="67"/>
      <c r="AD52" s="11">
        <v>0</v>
      </c>
    </row>
    <row r="53" spans="1:30" s="11" customFormat="1" ht="11.25" customHeight="1">
      <c r="A53" s="1408"/>
      <c r="B53" s="68"/>
      <c r="D53" s="377" t="s">
        <v>319</v>
      </c>
      <c r="E53" s="379" t="s">
        <v>904</v>
      </c>
      <c r="F53" s="374" t="s">
        <v>893</v>
      </c>
      <c r="G53" s="380"/>
      <c r="H53" s="601"/>
      <c r="I53" s="380">
        <v>0</v>
      </c>
      <c r="J53" s="601"/>
      <c r="K53" s="380">
        <v>0</v>
      </c>
      <c r="L53" s="601"/>
      <c r="M53" s="380">
        <v>0</v>
      </c>
      <c r="N53" s="601"/>
      <c r="O53" s="380">
        <v>0</v>
      </c>
      <c r="P53" s="601"/>
      <c r="Q53" s="67"/>
      <c r="AD53" s="11">
        <v>0</v>
      </c>
    </row>
    <row r="54" spans="1:30" s="11" customFormat="1" ht="11.25" customHeight="1">
      <c r="A54" s="1408"/>
      <c r="B54" s="68"/>
      <c r="D54" s="377" t="s">
        <v>916</v>
      </c>
      <c r="E54" s="379" t="s">
        <v>905</v>
      </c>
      <c r="F54" s="374" t="s">
        <v>893</v>
      </c>
      <c r="G54" s="380"/>
      <c r="H54" s="601"/>
      <c r="I54" s="380">
        <v>0</v>
      </c>
      <c r="J54" s="601"/>
      <c r="K54" s="380">
        <v>0</v>
      </c>
      <c r="L54" s="601"/>
      <c r="M54" s="380">
        <v>0</v>
      </c>
      <c r="N54" s="601"/>
      <c r="O54" s="380">
        <v>0</v>
      </c>
      <c r="P54" s="601"/>
      <c r="Q54" s="67"/>
      <c r="AD54" s="11">
        <v>0</v>
      </c>
    </row>
    <row r="55" spans="1:30" s="11" customFormat="1" ht="11.25" customHeight="1">
      <c r="A55" s="1408"/>
      <c r="B55" s="68"/>
      <c r="D55" s="377" t="s">
        <v>917</v>
      </c>
      <c r="E55" s="379" t="s">
        <v>906</v>
      </c>
      <c r="F55" s="374" t="s">
        <v>893</v>
      </c>
      <c r="G55" s="380"/>
      <c r="H55" s="601"/>
      <c r="I55" s="380">
        <v>0</v>
      </c>
      <c r="J55" s="601"/>
      <c r="K55" s="380">
        <v>0</v>
      </c>
      <c r="L55" s="601"/>
      <c r="M55" s="380">
        <v>0</v>
      </c>
      <c r="N55" s="601"/>
      <c r="O55" s="380">
        <v>0</v>
      </c>
      <c r="P55" s="601"/>
      <c r="Q55" s="67"/>
      <c r="AD55" s="11">
        <v>0</v>
      </c>
    </row>
    <row r="56" spans="1:30" s="11" customFormat="1" ht="11.25" customHeight="1">
      <c r="A56" s="1408"/>
      <c r="B56" s="68"/>
      <c r="D56" s="377" t="s">
        <v>918</v>
      </c>
      <c r="E56" s="382" t="s">
        <v>908</v>
      </c>
      <c r="F56" s="374" t="s">
        <v>893</v>
      </c>
      <c r="G56" s="380"/>
      <c r="H56" s="601"/>
      <c r="I56" s="380">
        <v>0</v>
      </c>
      <c r="J56" s="601"/>
      <c r="K56" s="380">
        <v>0</v>
      </c>
      <c r="L56" s="601"/>
      <c r="M56" s="380">
        <v>0</v>
      </c>
      <c r="N56" s="601"/>
      <c r="O56" s="380">
        <v>0</v>
      </c>
      <c r="P56" s="601"/>
      <c r="Q56" s="67"/>
      <c r="AD56" s="11">
        <v>0</v>
      </c>
    </row>
    <row r="57" spans="1:30" s="11" customFormat="1" ht="11.25" customHeight="1">
      <c r="A57" s="1408"/>
      <c r="B57" s="68"/>
      <c r="D57" s="377" t="s">
        <v>919</v>
      </c>
      <c r="E57" s="382" t="s">
        <v>910</v>
      </c>
      <c r="F57" s="374" t="s">
        <v>893</v>
      </c>
      <c r="G57" s="380"/>
      <c r="H57" s="601"/>
      <c r="I57" s="380">
        <v>0</v>
      </c>
      <c r="J57" s="601"/>
      <c r="K57" s="380">
        <v>0</v>
      </c>
      <c r="L57" s="601"/>
      <c r="M57" s="380">
        <v>0</v>
      </c>
      <c r="N57" s="601"/>
      <c r="O57" s="380">
        <v>0</v>
      </c>
      <c r="P57" s="601"/>
      <c r="Q57" s="67"/>
      <c r="AD57" s="11">
        <v>0</v>
      </c>
    </row>
    <row r="58" spans="1:30" s="11" customFormat="1" ht="11.25" customHeight="1">
      <c r="A58" s="1408"/>
      <c r="B58" s="68"/>
      <c r="D58" s="377" t="s">
        <v>920</v>
      </c>
      <c r="E58" s="379" t="s">
        <v>912</v>
      </c>
      <c r="F58" s="374" t="s">
        <v>893</v>
      </c>
      <c r="G58" s="380"/>
      <c r="H58" s="601"/>
      <c r="I58" s="380">
        <v>0</v>
      </c>
      <c r="J58" s="601"/>
      <c r="K58" s="380">
        <v>0</v>
      </c>
      <c r="L58" s="601"/>
      <c r="M58" s="380">
        <v>0</v>
      </c>
      <c r="N58" s="601"/>
      <c r="O58" s="380">
        <v>0</v>
      </c>
      <c r="P58" s="601"/>
      <c r="Q58" s="67"/>
      <c r="AD58" s="11">
        <v>0</v>
      </c>
    </row>
    <row r="59" spans="1:30" s="11" customFormat="1" ht="11.25" customHeight="1">
      <c r="A59" s="1408"/>
      <c r="B59" s="68"/>
      <c r="D59" s="377" t="s">
        <v>921</v>
      </c>
      <c r="E59" s="379" t="s">
        <v>914</v>
      </c>
      <c r="F59" s="374" t="s">
        <v>893</v>
      </c>
      <c r="G59" s="380"/>
      <c r="H59" s="601"/>
      <c r="I59" s="380">
        <v>0</v>
      </c>
      <c r="J59" s="601"/>
      <c r="K59" s="380">
        <v>0</v>
      </c>
      <c r="L59" s="601"/>
      <c r="M59" s="380">
        <v>0</v>
      </c>
      <c r="N59" s="601"/>
      <c r="O59" s="380">
        <v>0</v>
      </c>
      <c r="P59" s="601"/>
      <c r="Q59" s="67"/>
      <c r="AD59" s="11">
        <v>0</v>
      </c>
    </row>
    <row r="60" spans="1:30" s="11" customFormat="1" ht="33.75" customHeight="1">
      <c r="A60" s="1408"/>
      <c r="B60" s="68"/>
      <c r="D60" s="377" t="s">
        <v>92</v>
      </c>
      <c r="E60" s="378" t="s">
        <v>922</v>
      </c>
      <c r="F60" s="418" t="s">
        <v>562</v>
      </c>
      <c r="G60" s="430"/>
      <c r="H60" s="601"/>
      <c r="I60" s="430">
        <v>0</v>
      </c>
      <c r="J60" s="601"/>
      <c r="K60" s="430">
        <v>0</v>
      </c>
      <c r="L60" s="601"/>
      <c r="M60" s="430">
        <v>71.66</v>
      </c>
      <c r="N60" s="601"/>
      <c r="O60" s="430">
        <v>0</v>
      </c>
      <c r="P60" s="601"/>
      <c r="Q60" s="173" t="s">
        <v>923</v>
      </c>
      <c r="AD60" s="11">
        <v>0</v>
      </c>
    </row>
    <row r="61" spans="1:30" s="11" customFormat="1" ht="33.75" customHeight="1">
      <c r="A61" s="1408"/>
      <c r="B61" s="68"/>
      <c r="D61" s="377" t="s">
        <v>93</v>
      </c>
      <c r="E61" s="378" t="s">
        <v>924</v>
      </c>
      <c r="F61" s="423" t="s">
        <v>854</v>
      </c>
      <c r="G61" s="380"/>
      <c r="H61" s="601"/>
      <c r="I61" s="380">
        <v>0</v>
      </c>
      <c r="J61" s="601"/>
      <c r="K61" s="380">
        <v>0</v>
      </c>
      <c r="L61" s="601"/>
      <c r="M61" s="380">
        <v>10</v>
      </c>
      <c r="N61" s="601"/>
      <c r="O61" s="380">
        <v>0</v>
      </c>
      <c r="P61" s="601"/>
      <c r="Q61" s="67"/>
      <c r="AD61" s="11">
        <v>0</v>
      </c>
    </row>
    <row r="62" spans="1:30" s="11" customFormat="1" ht="22.5" customHeight="1">
      <c r="A62" s="1408"/>
      <c r="B62" s="68" t="s">
        <v>587</v>
      </c>
      <c r="D62" s="377" t="s">
        <v>112</v>
      </c>
      <c r="E62" s="378" t="s">
        <v>925</v>
      </c>
      <c r="F62" s="423" t="s">
        <v>312</v>
      </c>
      <c r="G62" s="117"/>
      <c r="H62" s="601"/>
      <c r="I62" s="1121" t="s">
        <v>926</v>
      </c>
      <c r="J62" s="601"/>
      <c r="K62" s="1121" t="s">
        <v>926</v>
      </c>
      <c r="L62" s="601"/>
      <c r="M62" s="1121" t="s">
        <v>927</v>
      </c>
      <c r="N62" s="601"/>
      <c r="O62" s="1121" t="s">
        <v>927</v>
      </c>
      <c r="P62" s="601"/>
      <c r="Q62" s="67" t="s">
        <v>648</v>
      </c>
      <c r="AD62" s="11">
        <v>0</v>
      </c>
    </row>
    <row r="63" spans="1:30" s="11" customFormat="1" ht="45" customHeight="1">
      <c r="A63" s="1408"/>
      <c r="B63" s="68" t="s">
        <v>587</v>
      </c>
      <c r="D63" s="377" t="s">
        <v>928</v>
      </c>
      <c r="E63" s="379" t="s">
        <v>929</v>
      </c>
      <c r="F63" s="418" t="s">
        <v>312</v>
      </c>
      <c r="G63" s="117"/>
      <c r="H63" s="601"/>
      <c r="I63" s="1121" t="s">
        <v>926</v>
      </c>
      <c r="J63" s="601"/>
      <c r="K63" s="1121" t="s">
        <v>926</v>
      </c>
      <c r="L63" s="601"/>
      <c r="M63" s="1121" t="s">
        <v>927</v>
      </c>
      <c r="N63" s="601"/>
      <c r="O63" s="1121" t="s">
        <v>927</v>
      </c>
      <c r="P63" s="601"/>
      <c r="Q63" s="67" t="s">
        <v>648</v>
      </c>
      <c r="AD63" s="11">
        <v>0</v>
      </c>
    </row>
    <row r="64" spans="1:30" s="11" customFormat="1" ht="11.45" customHeight="1">
      <c r="A64" s="303"/>
      <c r="B64" s="68"/>
      <c r="D64" s="4"/>
      <c r="E64" s="197"/>
      <c r="AD64" s="11">
        <v>11</v>
      </c>
    </row>
    <row r="65" spans="1:30" s="11" customFormat="1" ht="22.5" hidden="1" customHeight="1">
      <c r="A65" s="1408" t="s">
        <v>930</v>
      </c>
      <c r="B65" s="68"/>
      <c r="D65" s="377">
        <v>1</v>
      </c>
      <c r="E65" s="432" t="s">
        <v>931</v>
      </c>
      <c r="F65" s="428" t="s">
        <v>844</v>
      </c>
      <c r="G65" s="429"/>
      <c r="H65" s="605"/>
      <c r="I65" s="429"/>
      <c r="J65" s="605"/>
      <c r="K65" s="429"/>
      <c r="L65" s="605"/>
      <c r="M65" s="429"/>
      <c r="N65" s="605"/>
      <c r="O65" s="429"/>
      <c r="P65" s="605"/>
      <c r="Q65" s="172" t="s">
        <v>932</v>
      </c>
      <c r="AD65" s="11">
        <v>0</v>
      </c>
    </row>
    <row r="66" spans="1:30" s="11" customFormat="1" ht="56.25" hidden="1" customHeight="1">
      <c r="A66" s="1408"/>
      <c r="B66" s="68"/>
      <c r="D66" s="431" t="s">
        <v>110</v>
      </c>
      <c r="E66" s="153" t="s">
        <v>933</v>
      </c>
      <c r="F66" s="374" t="s">
        <v>550</v>
      </c>
      <c r="G66" s="374" t="s">
        <v>550</v>
      </c>
      <c r="H66" s="295"/>
      <c r="I66" s="374" t="s">
        <v>550</v>
      </c>
      <c r="J66" s="295"/>
      <c r="K66" s="374" t="s">
        <v>550</v>
      </c>
      <c r="L66" s="295"/>
      <c r="M66" s="374" t="s">
        <v>550</v>
      </c>
      <c r="N66" s="295"/>
      <c r="O66" s="374" t="s">
        <v>550</v>
      </c>
      <c r="P66" s="295"/>
      <c r="Q66" s="67"/>
      <c r="AD66" s="11">
        <v>0</v>
      </c>
    </row>
    <row r="67" spans="1:30" s="11" customFormat="1" ht="33.75" hidden="1" customHeight="1">
      <c r="A67" s="1408"/>
      <c r="B67" s="68"/>
      <c r="D67" s="431" t="s">
        <v>725</v>
      </c>
      <c r="E67" s="323" t="s">
        <v>934</v>
      </c>
      <c r="F67" s="374" t="s">
        <v>896</v>
      </c>
      <c r="G67" s="424"/>
      <c r="H67" s="295"/>
      <c r="I67" s="424"/>
      <c r="J67" s="295"/>
      <c r="K67" s="424"/>
      <c r="L67" s="295"/>
      <c r="M67" s="424"/>
      <c r="N67" s="295"/>
      <c r="O67" s="424"/>
      <c r="P67" s="295"/>
      <c r="Q67" s="67"/>
      <c r="AD67" s="11">
        <v>0</v>
      </c>
    </row>
    <row r="68" spans="1:30" s="11" customFormat="1" ht="22.5" hidden="1" customHeight="1">
      <c r="A68" s="1408"/>
      <c r="B68" s="68"/>
      <c r="D68" s="431" t="s">
        <v>313</v>
      </c>
      <c r="E68" s="323" t="s">
        <v>935</v>
      </c>
      <c r="F68" s="374" t="s">
        <v>896</v>
      </c>
      <c r="G68" s="424"/>
      <c r="H68" s="295"/>
      <c r="I68" s="424"/>
      <c r="J68" s="295"/>
      <c r="K68" s="424"/>
      <c r="L68" s="295"/>
      <c r="M68" s="424"/>
      <c r="N68" s="295"/>
      <c r="O68" s="424"/>
      <c r="P68" s="295"/>
      <c r="Q68" s="67"/>
      <c r="AD68" s="11">
        <v>0</v>
      </c>
    </row>
    <row r="69" spans="1:30" s="11" customFormat="1" ht="22.5" hidden="1" customHeight="1">
      <c r="A69" s="1408"/>
      <c r="B69" s="68"/>
      <c r="D69" s="431" t="s">
        <v>316</v>
      </c>
      <c r="E69" s="323" t="s">
        <v>936</v>
      </c>
      <c r="F69" s="418" t="s">
        <v>562</v>
      </c>
      <c r="G69" s="430"/>
      <c r="H69" s="295"/>
      <c r="I69" s="430"/>
      <c r="J69" s="295"/>
      <c r="K69" s="430"/>
      <c r="L69" s="295"/>
      <c r="M69" s="430"/>
      <c r="N69" s="295"/>
      <c r="O69" s="430"/>
      <c r="P69" s="295"/>
      <c r="Q69" s="67"/>
      <c r="AD69" s="11">
        <v>0</v>
      </c>
    </row>
    <row r="70" spans="1:30" s="11" customFormat="1" ht="22.5" hidden="1" customHeight="1">
      <c r="A70" s="1408"/>
      <c r="B70" s="68"/>
      <c r="D70" s="431" t="s">
        <v>745</v>
      </c>
      <c r="E70" s="323" t="s">
        <v>937</v>
      </c>
      <c r="F70" s="418" t="s">
        <v>562</v>
      </c>
      <c r="G70" s="430"/>
      <c r="H70" s="295"/>
      <c r="I70" s="430"/>
      <c r="J70" s="295"/>
      <c r="K70" s="430"/>
      <c r="L70" s="295"/>
      <c r="M70" s="430"/>
      <c r="N70" s="295"/>
      <c r="O70" s="430"/>
      <c r="P70" s="295"/>
      <c r="Q70" s="67"/>
      <c r="AD70" s="11">
        <v>0</v>
      </c>
    </row>
    <row r="71" spans="1:30" s="11" customFormat="1" ht="22.5" hidden="1" customHeight="1">
      <c r="A71" s="1408"/>
      <c r="B71" s="68"/>
      <c r="D71" s="377" t="s">
        <v>90</v>
      </c>
      <c r="E71" s="378" t="s">
        <v>938</v>
      </c>
      <c r="F71" s="374" t="s">
        <v>896</v>
      </c>
      <c r="G71" s="321"/>
      <c r="H71" s="606"/>
      <c r="I71" s="321"/>
      <c r="J71" s="606"/>
      <c r="K71" s="321"/>
      <c r="L71" s="606"/>
      <c r="M71" s="321"/>
      <c r="N71" s="606"/>
      <c r="O71" s="321"/>
      <c r="P71" s="606"/>
      <c r="Q71" s="173"/>
      <c r="AD71" s="11">
        <v>0</v>
      </c>
    </row>
    <row r="72" spans="1:30" s="11" customFormat="1" ht="56.25" hidden="1" customHeight="1">
      <c r="A72" s="1408"/>
      <c r="B72" s="68"/>
      <c r="D72" s="377" t="s">
        <v>91</v>
      </c>
      <c r="E72" s="378" t="s">
        <v>939</v>
      </c>
      <c r="F72" s="418" t="s">
        <v>562</v>
      </c>
      <c r="G72" s="430"/>
      <c r="H72" s="601"/>
      <c r="I72" s="430"/>
      <c r="J72" s="601"/>
      <c r="K72" s="430"/>
      <c r="L72" s="601"/>
      <c r="M72" s="430"/>
      <c r="N72" s="601"/>
      <c r="O72" s="430"/>
      <c r="P72" s="601"/>
      <c r="Q72" s="173"/>
      <c r="AD72" s="11">
        <v>0</v>
      </c>
    </row>
    <row r="73" spans="1:30" s="11" customFormat="1" ht="33.75" hidden="1" customHeight="1">
      <c r="A73" s="1408"/>
      <c r="B73" s="68"/>
      <c r="D73" s="377" t="s">
        <v>111</v>
      </c>
      <c r="E73" s="378" t="s">
        <v>940</v>
      </c>
      <c r="F73" s="423" t="s">
        <v>854</v>
      </c>
      <c r="G73" s="380"/>
      <c r="H73" s="601"/>
      <c r="I73" s="380"/>
      <c r="J73" s="601"/>
      <c r="K73" s="380"/>
      <c r="L73" s="601"/>
      <c r="M73" s="380"/>
      <c r="N73" s="601"/>
      <c r="O73" s="380"/>
      <c r="P73" s="601"/>
      <c r="Q73" s="67"/>
      <c r="AD73" s="11">
        <v>0</v>
      </c>
    </row>
    <row r="74" spans="1:30" s="11" customFormat="1" ht="22.5" hidden="1" customHeight="1">
      <c r="A74" s="1408"/>
      <c r="B74" s="68" t="s">
        <v>587</v>
      </c>
      <c r="D74" s="377" t="s">
        <v>92</v>
      </c>
      <c r="E74" s="378" t="s">
        <v>941</v>
      </c>
      <c r="F74" s="423" t="s">
        <v>312</v>
      </c>
      <c r="G74" s="117"/>
      <c r="H74" s="601"/>
      <c r="I74" s="117"/>
      <c r="J74" s="601"/>
      <c r="K74" s="117"/>
      <c r="L74" s="601"/>
      <c r="M74" s="117"/>
      <c r="N74" s="601"/>
      <c r="O74" s="117"/>
      <c r="P74" s="601"/>
      <c r="Q74" s="67" t="s">
        <v>648</v>
      </c>
      <c r="AD74" s="11">
        <v>0</v>
      </c>
    </row>
    <row r="75" spans="1:30" s="11" customFormat="1" ht="45" hidden="1" customHeight="1">
      <c r="A75" s="1408"/>
      <c r="B75" s="68" t="s">
        <v>587</v>
      </c>
      <c r="D75" s="377" t="s">
        <v>669</v>
      </c>
      <c r="E75" s="379" t="s">
        <v>942</v>
      </c>
      <c r="F75" s="418" t="s">
        <v>312</v>
      </c>
      <c r="G75" s="117"/>
      <c r="H75" s="601"/>
      <c r="I75" s="117"/>
      <c r="J75" s="601"/>
      <c r="K75" s="117"/>
      <c r="L75" s="601"/>
      <c r="M75" s="117"/>
      <c r="N75" s="601"/>
      <c r="O75" s="117"/>
      <c r="P75" s="601"/>
      <c r="Q75" s="67" t="s">
        <v>648</v>
      </c>
      <c r="AD75" s="11">
        <v>0</v>
      </c>
    </row>
    <row r="76" spans="1:30" s="11" customFormat="1" ht="11.45" customHeight="1">
      <c r="A76" s="303"/>
      <c r="B76" s="68"/>
      <c r="D76" s="4"/>
      <c r="E76" s="197"/>
      <c r="AD76" s="11">
        <v>11</v>
      </c>
    </row>
    <row r="77" spans="1:30" s="11" customFormat="1" ht="11.25" hidden="1" customHeight="1">
      <c r="A77" s="1408" t="s">
        <v>943</v>
      </c>
      <c r="B77" s="68"/>
      <c r="D77" s="377">
        <v>1</v>
      </c>
      <c r="E77" s="378" t="s">
        <v>944</v>
      </c>
      <c r="F77" s="418" t="s">
        <v>844</v>
      </c>
      <c r="G77" s="421"/>
      <c r="H77" s="601"/>
      <c r="I77" s="421"/>
      <c r="J77" s="601"/>
      <c r="K77" s="421"/>
      <c r="L77" s="601"/>
      <c r="M77" s="421"/>
      <c r="N77" s="601"/>
      <c r="O77" s="421"/>
      <c r="P77" s="601"/>
      <c r="Q77" s="67" t="s">
        <v>945</v>
      </c>
      <c r="AD77" s="11">
        <v>0</v>
      </c>
    </row>
    <row r="78" spans="1:30" s="11" customFormat="1" ht="11.25" hidden="1" customHeight="1">
      <c r="A78" s="1408"/>
      <c r="B78" s="68"/>
      <c r="D78" s="377" t="s">
        <v>110</v>
      </c>
      <c r="E78" s="378" t="s">
        <v>946</v>
      </c>
      <c r="F78" s="418" t="s">
        <v>844</v>
      </c>
      <c r="G78" s="421"/>
      <c r="H78" s="601"/>
      <c r="I78" s="421"/>
      <c r="J78" s="601"/>
      <c r="K78" s="421"/>
      <c r="L78" s="601"/>
      <c r="M78" s="421"/>
      <c r="N78" s="601"/>
      <c r="O78" s="421"/>
      <c r="P78" s="601"/>
      <c r="Q78" s="67" t="s">
        <v>947</v>
      </c>
      <c r="AD78" s="11">
        <v>0</v>
      </c>
    </row>
    <row r="79" spans="1:30" s="11" customFormat="1" ht="22.5" hidden="1" customHeight="1">
      <c r="A79" s="1408"/>
      <c r="B79" s="68"/>
      <c r="D79" s="377" t="s">
        <v>90</v>
      </c>
      <c r="E79" s="419" t="s">
        <v>948</v>
      </c>
      <c r="F79" s="374" t="s">
        <v>893</v>
      </c>
      <c r="G79" s="421"/>
      <c r="H79" s="601"/>
      <c r="I79" s="421"/>
      <c r="J79" s="601"/>
      <c r="K79" s="421"/>
      <c r="L79" s="601"/>
      <c r="M79" s="421"/>
      <c r="N79" s="601"/>
      <c r="O79" s="421"/>
      <c r="P79" s="601"/>
      <c r="Q79" s="67" t="s">
        <v>949</v>
      </c>
      <c r="AD79" s="11">
        <v>0</v>
      </c>
    </row>
    <row r="80" spans="1:30" s="11" customFormat="1" ht="11.25" hidden="1" customHeight="1">
      <c r="A80" s="1408"/>
      <c r="B80" s="68"/>
      <c r="D80" s="377" t="s">
        <v>330</v>
      </c>
      <c r="E80" s="420" t="s">
        <v>950</v>
      </c>
      <c r="F80" s="374" t="s">
        <v>893</v>
      </c>
      <c r="G80" s="421"/>
      <c r="H80" s="601"/>
      <c r="I80" s="421"/>
      <c r="J80" s="601"/>
      <c r="K80" s="421"/>
      <c r="L80" s="601"/>
      <c r="M80" s="421"/>
      <c r="N80" s="601"/>
      <c r="O80" s="421"/>
      <c r="P80" s="601"/>
      <c r="Q80" s="67"/>
      <c r="AD80" s="11">
        <v>0</v>
      </c>
    </row>
    <row r="81" spans="1:30" s="11" customFormat="1" ht="11.25" hidden="1" customHeight="1">
      <c r="A81" s="1408"/>
      <c r="B81" s="68"/>
      <c r="D81" s="377" t="s">
        <v>338</v>
      </c>
      <c r="E81" s="420" t="s">
        <v>951</v>
      </c>
      <c r="F81" s="374" t="s">
        <v>893</v>
      </c>
      <c r="G81" s="421"/>
      <c r="H81" s="601"/>
      <c r="I81" s="421"/>
      <c r="J81" s="601"/>
      <c r="K81" s="421"/>
      <c r="L81" s="601"/>
      <c r="M81" s="421"/>
      <c r="N81" s="601"/>
      <c r="O81" s="421"/>
      <c r="P81" s="601"/>
      <c r="Q81" s="67"/>
      <c r="AD81" s="11">
        <v>0</v>
      </c>
    </row>
    <row r="82" spans="1:30" s="11" customFormat="1" ht="11.25" hidden="1" customHeight="1">
      <c r="A82" s="1408"/>
      <c r="B82" s="68"/>
      <c r="D82" s="377" t="s">
        <v>340</v>
      </c>
      <c r="E82" s="420" t="s">
        <v>952</v>
      </c>
      <c r="F82" s="374" t="s">
        <v>893</v>
      </c>
      <c r="G82" s="421"/>
      <c r="H82" s="601"/>
      <c r="I82" s="421"/>
      <c r="J82" s="601"/>
      <c r="K82" s="421"/>
      <c r="L82" s="601"/>
      <c r="M82" s="421"/>
      <c r="N82" s="601"/>
      <c r="O82" s="421"/>
      <c r="P82" s="601"/>
      <c r="Q82" s="67"/>
      <c r="AD82" s="11">
        <v>0</v>
      </c>
    </row>
    <row r="83" spans="1:30" s="11" customFormat="1" ht="11.25" hidden="1" customHeight="1">
      <c r="A83" s="1408"/>
      <c r="B83" s="68"/>
      <c r="D83" s="377" t="s">
        <v>342</v>
      </c>
      <c r="E83" s="420" t="s">
        <v>953</v>
      </c>
      <c r="F83" s="374" t="s">
        <v>893</v>
      </c>
      <c r="G83" s="421"/>
      <c r="H83" s="601"/>
      <c r="I83" s="421"/>
      <c r="J83" s="601"/>
      <c r="K83" s="421"/>
      <c r="L83" s="601"/>
      <c r="M83" s="421"/>
      <c r="N83" s="601"/>
      <c r="O83" s="421"/>
      <c r="P83" s="601"/>
      <c r="Q83" s="67"/>
      <c r="AD83" s="11">
        <v>0</v>
      </c>
    </row>
    <row r="84" spans="1:30" s="11" customFormat="1" ht="11.25" hidden="1" customHeight="1">
      <c r="A84" s="1408"/>
      <c r="B84" s="68"/>
      <c r="D84" s="377" t="s">
        <v>954</v>
      </c>
      <c r="E84" s="420" t="s">
        <v>955</v>
      </c>
      <c r="F84" s="374" t="s">
        <v>893</v>
      </c>
      <c r="G84" s="421"/>
      <c r="H84" s="601"/>
      <c r="I84" s="421"/>
      <c r="J84" s="601"/>
      <c r="K84" s="421"/>
      <c r="L84" s="601"/>
      <c r="M84" s="421"/>
      <c r="N84" s="601"/>
      <c r="O84" s="421"/>
      <c r="P84" s="601"/>
      <c r="Q84" s="67"/>
      <c r="AD84" s="11">
        <v>0</v>
      </c>
    </row>
    <row r="85" spans="1:30" s="11" customFormat="1" ht="11.25" hidden="1" customHeight="1">
      <c r="A85" s="1408"/>
      <c r="B85" s="68"/>
      <c r="D85" s="377" t="s">
        <v>956</v>
      </c>
      <c r="E85" s="420" t="s">
        <v>957</v>
      </c>
      <c r="F85" s="374" t="s">
        <v>893</v>
      </c>
      <c r="G85" s="421"/>
      <c r="H85" s="601"/>
      <c r="I85" s="421"/>
      <c r="J85" s="601"/>
      <c r="K85" s="421"/>
      <c r="L85" s="601"/>
      <c r="M85" s="421"/>
      <c r="N85" s="601"/>
      <c r="O85" s="421"/>
      <c r="P85" s="601"/>
      <c r="Q85" s="67"/>
      <c r="AD85" s="11">
        <v>0</v>
      </c>
    </row>
    <row r="86" spans="1:30" s="11" customFormat="1" ht="11.25" hidden="1" customHeight="1">
      <c r="A86" s="1408"/>
      <c r="B86" s="68"/>
      <c r="D86" s="377" t="s">
        <v>958</v>
      </c>
      <c r="E86" s="420" t="s">
        <v>959</v>
      </c>
      <c r="F86" s="374" t="s">
        <v>893</v>
      </c>
      <c r="G86" s="421"/>
      <c r="H86" s="601"/>
      <c r="I86" s="421"/>
      <c r="J86" s="601"/>
      <c r="K86" s="421"/>
      <c r="L86" s="601"/>
      <c r="M86" s="421"/>
      <c r="N86" s="601"/>
      <c r="O86" s="421"/>
      <c r="P86" s="601"/>
      <c r="Q86" s="67"/>
      <c r="AD86" s="11">
        <v>0</v>
      </c>
    </row>
    <row r="87" spans="1:30" s="11" customFormat="1" ht="45" hidden="1" customHeight="1">
      <c r="A87" s="1408"/>
      <c r="B87" s="68"/>
      <c r="D87" s="377" t="s">
        <v>91</v>
      </c>
      <c r="E87" s="378" t="s">
        <v>960</v>
      </c>
      <c r="F87" s="374" t="s">
        <v>893</v>
      </c>
      <c r="G87" s="421"/>
      <c r="H87" s="601"/>
      <c r="I87" s="421"/>
      <c r="J87" s="601"/>
      <c r="K87" s="421"/>
      <c r="L87" s="601"/>
      <c r="M87" s="421"/>
      <c r="N87" s="601"/>
      <c r="O87" s="421"/>
      <c r="P87" s="601"/>
      <c r="Q87" s="67" t="s">
        <v>961</v>
      </c>
      <c r="AD87" s="11">
        <v>0</v>
      </c>
    </row>
    <row r="88" spans="1:30" s="11" customFormat="1" ht="11.25" hidden="1" customHeight="1">
      <c r="A88" s="1408"/>
      <c r="B88" s="68"/>
      <c r="D88" s="377" t="s">
        <v>776</v>
      </c>
      <c r="E88" s="420" t="s">
        <v>950</v>
      </c>
      <c r="F88" s="374" t="s">
        <v>893</v>
      </c>
      <c r="G88" s="421"/>
      <c r="H88" s="601"/>
      <c r="I88" s="421"/>
      <c r="J88" s="601"/>
      <c r="K88" s="421"/>
      <c r="L88" s="601"/>
      <c r="M88" s="421"/>
      <c r="N88" s="601"/>
      <c r="O88" s="421"/>
      <c r="P88" s="601"/>
      <c r="Q88" s="67"/>
      <c r="AD88" s="11">
        <v>0</v>
      </c>
    </row>
    <row r="89" spans="1:30" s="11" customFormat="1" ht="11.25" hidden="1" customHeight="1">
      <c r="A89" s="1408"/>
      <c r="B89" s="68"/>
      <c r="D89" s="377" t="s">
        <v>820</v>
      </c>
      <c r="E89" s="420" t="s">
        <v>951</v>
      </c>
      <c r="F89" s="374" t="s">
        <v>893</v>
      </c>
      <c r="G89" s="421"/>
      <c r="H89" s="601"/>
      <c r="I89" s="421"/>
      <c r="J89" s="601"/>
      <c r="K89" s="421"/>
      <c r="L89" s="601"/>
      <c r="M89" s="421"/>
      <c r="N89" s="601"/>
      <c r="O89" s="421"/>
      <c r="P89" s="601"/>
      <c r="Q89" s="67"/>
      <c r="AD89" s="11">
        <v>0</v>
      </c>
    </row>
    <row r="90" spans="1:30" s="11" customFormat="1" ht="11.25" hidden="1" customHeight="1">
      <c r="A90" s="1408"/>
      <c r="B90" s="68"/>
      <c r="D90" s="377" t="s">
        <v>823</v>
      </c>
      <c r="E90" s="420" t="s">
        <v>952</v>
      </c>
      <c r="F90" s="374" t="s">
        <v>893</v>
      </c>
      <c r="G90" s="421"/>
      <c r="H90" s="601"/>
      <c r="I90" s="421"/>
      <c r="J90" s="601"/>
      <c r="K90" s="421"/>
      <c r="L90" s="601"/>
      <c r="M90" s="421"/>
      <c r="N90" s="601"/>
      <c r="O90" s="421"/>
      <c r="P90" s="601"/>
      <c r="Q90" s="67"/>
      <c r="AD90" s="11">
        <v>0</v>
      </c>
    </row>
    <row r="91" spans="1:30" s="11" customFormat="1" ht="11.25" hidden="1" customHeight="1">
      <c r="A91" s="1408"/>
      <c r="B91" s="68"/>
      <c r="D91" s="377" t="s">
        <v>911</v>
      </c>
      <c r="E91" s="420" t="s">
        <v>953</v>
      </c>
      <c r="F91" s="374" t="s">
        <v>893</v>
      </c>
      <c r="G91" s="421"/>
      <c r="H91" s="601"/>
      <c r="I91" s="421"/>
      <c r="J91" s="601"/>
      <c r="K91" s="421"/>
      <c r="L91" s="601"/>
      <c r="M91" s="421"/>
      <c r="N91" s="601"/>
      <c r="O91" s="421"/>
      <c r="P91" s="601"/>
      <c r="Q91" s="67"/>
      <c r="AD91" s="11">
        <v>0</v>
      </c>
    </row>
    <row r="92" spans="1:30" s="11" customFormat="1" ht="11.25" hidden="1" customHeight="1">
      <c r="A92" s="1408"/>
      <c r="B92" s="68"/>
      <c r="D92" s="377" t="s">
        <v>913</v>
      </c>
      <c r="E92" s="420" t="s">
        <v>955</v>
      </c>
      <c r="F92" s="374" t="s">
        <v>893</v>
      </c>
      <c r="G92" s="421"/>
      <c r="H92" s="601"/>
      <c r="I92" s="421"/>
      <c r="J92" s="601"/>
      <c r="K92" s="421"/>
      <c r="L92" s="601"/>
      <c r="M92" s="421"/>
      <c r="N92" s="601"/>
      <c r="O92" s="421"/>
      <c r="P92" s="601"/>
      <c r="Q92" s="67"/>
      <c r="AD92" s="11">
        <v>0</v>
      </c>
    </row>
    <row r="93" spans="1:30" s="11" customFormat="1" ht="11.25" hidden="1" customHeight="1">
      <c r="A93" s="1408"/>
      <c r="B93" s="68"/>
      <c r="D93" s="377" t="s">
        <v>962</v>
      </c>
      <c r="E93" s="420" t="s">
        <v>957</v>
      </c>
      <c r="F93" s="374" t="s">
        <v>893</v>
      </c>
      <c r="G93" s="421"/>
      <c r="H93" s="601"/>
      <c r="I93" s="421"/>
      <c r="J93" s="601"/>
      <c r="K93" s="421"/>
      <c r="L93" s="601"/>
      <c r="M93" s="421"/>
      <c r="N93" s="601"/>
      <c r="O93" s="421"/>
      <c r="P93" s="601"/>
      <c r="Q93" s="67"/>
      <c r="AD93" s="11">
        <v>0</v>
      </c>
    </row>
    <row r="94" spans="1:30" s="11" customFormat="1" ht="11.25" hidden="1" customHeight="1">
      <c r="A94" s="1408"/>
      <c r="B94" s="68"/>
      <c r="D94" s="377" t="s">
        <v>963</v>
      </c>
      <c r="E94" s="420" t="s">
        <v>959</v>
      </c>
      <c r="F94" s="374" t="s">
        <v>893</v>
      </c>
      <c r="G94" s="421"/>
      <c r="H94" s="601"/>
      <c r="I94" s="421"/>
      <c r="J94" s="601"/>
      <c r="K94" s="421"/>
      <c r="L94" s="601"/>
      <c r="M94" s="421"/>
      <c r="N94" s="601"/>
      <c r="O94" s="421"/>
      <c r="P94" s="601"/>
      <c r="Q94" s="67"/>
      <c r="AD94" s="11">
        <v>0</v>
      </c>
    </row>
    <row r="95" spans="1:30" s="11" customFormat="1" ht="24.75" hidden="1" customHeight="1">
      <c r="A95" s="1408"/>
      <c r="B95" s="68"/>
      <c r="D95" s="377" t="s">
        <v>111</v>
      </c>
      <c r="E95" s="378" t="s">
        <v>964</v>
      </c>
      <c r="F95" s="422" t="s">
        <v>562</v>
      </c>
      <c r="G95" s="424"/>
      <c r="H95" s="601"/>
      <c r="I95" s="424"/>
      <c r="J95" s="601"/>
      <c r="K95" s="424"/>
      <c r="L95" s="601"/>
      <c r="M95" s="424"/>
      <c r="N95" s="601"/>
      <c r="O95" s="424"/>
      <c r="P95" s="601"/>
      <c r="Q95" s="67" t="s">
        <v>965</v>
      </c>
      <c r="AD95" s="11">
        <v>0</v>
      </c>
    </row>
    <row r="96" spans="1:30" s="11" customFormat="1" ht="33.75" hidden="1" customHeight="1">
      <c r="A96" s="1408"/>
      <c r="B96" s="68"/>
      <c r="D96" s="377" t="s">
        <v>92</v>
      </c>
      <c r="E96" s="378" t="s">
        <v>966</v>
      </c>
      <c r="F96" s="423" t="s">
        <v>854</v>
      </c>
      <c r="G96" s="425"/>
      <c r="H96" s="601"/>
      <c r="I96" s="425"/>
      <c r="J96" s="601"/>
      <c r="K96" s="425"/>
      <c r="L96" s="601"/>
      <c r="M96" s="425"/>
      <c r="N96" s="601"/>
      <c r="O96" s="425"/>
      <c r="P96" s="601"/>
      <c r="Q96" s="67"/>
      <c r="AD96" s="11">
        <v>0</v>
      </c>
    </row>
    <row r="97" spans="1:30" s="11" customFormat="1" ht="22.5" hidden="1" customHeight="1">
      <c r="A97" s="1408"/>
      <c r="B97" s="68" t="s">
        <v>587</v>
      </c>
      <c r="D97" s="377" t="s">
        <v>93</v>
      </c>
      <c r="E97" s="378" t="s">
        <v>967</v>
      </c>
      <c r="F97" s="423" t="s">
        <v>312</v>
      </c>
      <c r="G97" s="220"/>
      <c r="H97" s="601"/>
      <c r="I97" s="220"/>
      <c r="J97" s="601"/>
      <c r="K97" s="220"/>
      <c r="L97" s="601"/>
      <c r="M97" s="220"/>
      <c r="N97" s="601"/>
      <c r="O97" s="220"/>
      <c r="P97" s="601"/>
      <c r="Q97" s="67" t="s">
        <v>648</v>
      </c>
      <c r="AD97" s="11">
        <v>0</v>
      </c>
    </row>
    <row r="98" spans="1:30" s="11" customFormat="1" ht="45" hidden="1" customHeight="1">
      <c r="A98" s="1408"/>
      <c r="B98" s="68" t="s">
        <v>587</v>
      </c>
      <c r="D98" s="377" t="s">
        <v>832</v>
      </c>
      <c r="E98" s="379" t="s">
        <v>968</v>
      </c>
      <c r="F98" s="418" t="s">
        <v>312</v>
      </c>
      <c r="G98" s="220"/>
      <c r="H98" s="601"/>
      <c r="I98" s="220"/>
      <c r="J98" s="601"/>
      <c r="K98" s="220"/>
      <c r="L98" s="601"/>
      <c r="M98" s="220"/>
      <c r="N98" s="601"/>
      <c r="O98" s="220"/>
      <c r="P98" s="601"/>
      <c r="Q98" s="67" t="s">
        <v>648</v>
      </c>
      <c r="AD98" s="11">
        <v>0</v>
      </c>
    </row>
    <row r="99" spans="1:30" s="11" customFormat="1" ht="95.25" hidden="1" customHeight="1">
      <c r="A99" s="1408"/>
      <c r="B99" s="68" t="s">
        <v>587</v>
      </c>
      <c r="D99" s="377" t="s">
        <v>112</v>
      </c>
      <c r="E99" s="378" t="s">
        <v>969</v>
      </c>
      <c r="F99" s="418" t="s">
        <v>312</v>
      </c>
      <c r="G99" s="220"/>
      <c r="H99" s="601"/>
      <c r="I99" s="220"/>
      <c r="J99" s="601"/>
      <c r="K99" s="220"/>
      <c r="L99" s="601"/>
      <c r="M99" s="220"/>
      <c r="N99" s="601"/>
      <c r="O99" s="220"/>
      <c r="P99" s="601"/>
      <c r="Q99" s="67" t="s">
        <v>648</v>
      </c>
      <c r="AD99" s="11">
        <v>0</v>
      </c>
    </row>
    <row r="100" spans="1:30" s="11" customFormat="1" ht="22.5" hidden="1" customHeight="1">
      <c r="A100" s="1408"/>
      <c r="B100" s="68" t="s">
        <v>587</v>
      </c>
      <c r="D100" s="377" t="s">
        <v>156</v>
      </c>
      <c r="E100" s="378" t="s">
        <v>970</v>
      </c>
      <c r="F100" s="418" t="s">
        <v>312</v>
      </c>
      <c r="G100" s="220"/>
      <c r="H100" s="601"/>
      <c r="I100" s="220"/>
      <c r="J100" s="601"/>
      <c r="K100" s="220"/>
      <c r="L100" s="601"/>
      <c r="M100" s="220"/>
      <c r="N100" s="601"/>
      <c r="O100" s="220"/>
      <c r="P100" s="601"/>
      <c r="Q100" s="67" t="s">
        <v>648</v>
      </c>
      <c r="AD100" s="11">
        <v>0</v>
      </c>
    </row>
    <row r="101" spans="1:30" s="11" customFormat="1" ht="11.45" customHeight="1">
      <c r="A101" s="303"/>
      <c r="B101" s="68"/>
      <c r="D101" s="4"/>
      <c r="E101" s="197"/>
      <c r="AD101" s="11">
        <v>11</v>
      </c>
    </row>
    <row r="102" spans="1:30" ht="22.5" hidden="1" customHeight="1">
      <c r="A102" s="303" t="s">
        <v>82</v>
      </c>
      <c r="B102" s="68">
        <v>0</v>
      </c>
      <c r="C102" s="11">
        <v>3</v>
      </c>
      <c r="D102" s="11">
        <v>7</v>
      </c>
      <c r="E102" s="11">
        <v>69</v>
      </c>
      <c r="F102" s="11">
        <v>10</v>
      </c>
      <c r="G102" s="11">
        <v>0</v>
      </c>
      <c r="H102" s="11">
        <v>0</v>
      </c>
      <c r="I102" s="11">
        <v>43</v>
      </c>
      <c r="J102" s="11">
        <v>43</v>
      </c>
      <c r="K102" s="11">
        <v>0</v>
      </c>
      <c r="L102" s="11">
        <v>0</v>
      </c>
      <c r="M102" s="11">
        <v>0</v>
      </c>
      <c r="N102" s="11">
        <v>0</v>
      </c>
      <c r="O102" s="11">
        <v>0</v>
      </c>
      <c r="P102" s="11">
        <v>0</v>
      </c>
      <c r="Q102" s="11">
        <v>73</v>
      </c>
      <c r="R102" s="11">
        <v>3</v>
      </c>
      <c r="S102" s="11">
        <v>10</v>
      </c>
      <c r="T102" s="11">
        <v>10</v>
      </c>
      <c r="U102" s="11">
        <v>10</v>
      </c>
      <c r="V102" s="11">
        <v>10</v>
      </c>
      <c r="W102" s="11">
        <v>10</v>
      </c>
      <c r="X102" s="11">
        <v>10</v>
      </c>
      <c r="Y102" s="11">
        <v>10</v>
      </c>
      <c r="Z102" s="11">
        <v>10</v>
      </c>
      <c r="AA102" s="11">
        <v>10</v>
      </c>
      <c r="AB102" s="11">
        <v>10</v>
      </c>
      <c r="AC102" s="11">
        <v>10</v>
      </c>
      <c r="AD102" s="11">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xr:uid="{00000000-0002-0000-2600-000005000000}">
      <formula1>900</formula1>
    </dataValidation>
  </dataValidations>
  <hyperlinks>
    <hyperlink ref="I62" r:id="rId1" tooltip="Кликните по гиперссылке, чтобы перейти по ней или отредактировать её" xr:uid="{00000000-0004-0000-2600-000000000000}"/>
    <hyperlink ref="K62" r:id="rId2" tooltip="Кликните по гиперссылке, чтобы перейти по ней или отредактировать её" xr:uid="{00000000-0004-0000-2600-000001000000}"/>
    <hyperlink ref="M62" r:id="rId3" xr:uid="{00000000-0004-0000-2600-000002000000}"/>
    <hyperlink ref="O62" r:id="rId4" xr:uid="{00000000-0004-0000-2600-000003000000}"/>
    <hyperlink ref="I63" r:id="rId5" tooltip="Кликните по гиперссылке, чтобы перейти по ней или отредактировать её" xr:uid="{00000000-0004-0000-2600-000004000000}"/>
    <hyperlink ref="K63" r:id="rId6" tooltip="Кликните по гиперссылке, чтобы перейти по ней или отредактировать её" xr:uid="{00000000-0004-0000-2600-000005000000}"/>
    <hyperlink ref="M63" r:id="rId7" xr:uid="{00000000-0004-0000-2600-000006000000}"/>
    <hyperlink ref="O63" r:id="rId8" xr:uid="{00000000-0004-0000-2600-000007000000}"/>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6"/>
  <sheetViews>
    <sheetView showGridLines="0" topLeftCell="C3" zoomScale="90" workbookViewId="0"/>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5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53"/>
      <c r="F4" s="1153"/>
      <c r="G4" s="1153"/>
      <c r="H4" s="1153"/>
      <c r="I4" s="1154"/>
      <c r="J4" s="82"/>
      <c r="K4" s="82"/>
      <c r="L4" s="82"/>
      <c r="M4" s="82"/>
      <c r="AM4" s="35">
        <v>34</v>
      </c>
    </row>
    <row r="5" spans="1:39" s="42" customFormat="1" ht="14.65" customHeight="1">
      <c r="A5" s="17"/>
      <c r="B5" s="17"/>
      <c r="C5" s="17"/>
      <c r="D5" s="1155" t="str">
        <f>IF(org=0,"Не определено",org)</f>
        <v>Сургутское городское муниципальное унитарное предприятие "Горводоканал"</v>
      </c>
      <c r="E5" s="1156"/>
      <c r="F5" s="1156"/>
      <c r="G5" s="1156"/>
      <c r="H5" s="1156"/>
      <c r="I5" s="1157"/>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44"/>
      <c r="B6" s="1144"/>
      <c r="C6" s="1144"/>
      <c r="D6" s="1144"/>
      <c r="E6" s="1144"/>
      <c r="F6" s="1144"/>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6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3"/>
      <c r="G7" s="1163"/>
      <c r="H7" s="1163"/>
      <c r="I7" s="1163"/>
      <c r="J7" s="1163"/>
      <c r="K7" s="1163"/>
      <c r="L7" s="1163"/>
      <c r="M7" s="1163"/>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58"/>
      <c r="B9" s="11"/>
      <c r="C9" s="11"/>
      <c r="D9" s="1159" t="s">
        <v>105</v>
      </c>
      <c r="E9" s="1159"/>
      <c r="F9" s="1160" t="s">
        <v>106</v>
      </c>
      <c r="G9" s="1161"/>
      <c r="H9" s="1161"/>
      <c r="I9" s="1161"/>
      <c r="J9" s="1164" t="s">
        <v>107</v>
      </c>
      <c r="K9" s="1164"/>
      <c r="L9" s="1164"/>
      <c r="M9" s="1164"/>
      <c r="AM9" s="35">
        <v>18</v>
      </c>
    </row>
    <row r="10" spans="1:39" ht="24" customHeight="1">
      <c r="A10" s="1158"/>
      <c r="B10" s="58"/>
      <c r="C10" s="298"/>
      <c r="D10" s="41" t="s">
        <v>88</v>
      </c>
      <c r="E10" s="41" t="s">
        <v>89</v>
      </c>
      <c r="F10" s="41" t="s">
        <v>108</v>
      </c>
      <c r="G10" s="1165" t="s">
        <v>88</v>
      </c>
      <c r="H10" s="1166"/>
      <c r="I10" s="41" t="s">
        <v>89</v>
      </c>
      <c r="J10" s="41" t="s">
        <v>108</v>
      </c>
      <c r="K10" s="1165" t="s">
        <v>88</v>
      </c>
      <c r="L10" s="1166"/>
      <c r="M10" s="41" t="s">
        <v>89</v>
      </c>
      <c r="N10" s="466"/>
      <c r="AM10" s="35">
        <v>23</v>
      </c>
    </row>
    <row r="11" spans="1:39" s="35" customFormat="1" ht="11.25" hidden="1" customHeight="1">
      <c r="A11" s="344"/>
      <c r="B11" s="344"/>
      <c r="C11" s="344"/>
      <c r="D11" s="345" t="s">
        <v>109</v>
      </c>
      <c r="E11" s="345" t="s">
        <v>110</v>
      </c>
      <c r="F11" s="345" t="s">
        <v>90</v>
      </c>
      <c r="G11" s="1148" t="s">
        <v>91</v>
      </c>
      <c r="H11" s="1149"/>
      <c r="I11" s="345" t="s">
        <v>111</v>
      </c>
      <c r="J11" s="345" t="s">
        <v>92</v>
      </c>
      <c r="K11" s="1150" t="s">
        <v>93</v>
      </c>
      <c r="L11" s="1151"/>
      <c r="M11" s="345" t="s">
        <v>112</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113</v>
      </c>
      <c r="P12" s="69" t="s">
        <v>114</v>
      </c>
      <c r="Q12" s="69" t="s">
        <v>115</v>
      </c>
      <c r="R12" s="69" t="s">
        <v>116</v>
      </c>
      <c r="AM12" s="35">
        <v>1</v>
      </c>
    </row>
    <row r="13" spans="1:39" s="35" customFormat="1" ht="15.75" customHeight="1">
      <c r="A13"/>
      <c r="B13"/>
      <c r="C13" s="77"/>
      <c r="D13" s="1170" t="s">
        <v>109</v>
      </c>
      <c r="E13" s="1171" t="str">
        <f>INDEX(VD_NAME_LIST,MATCH("4189671",VD_ID_LIST,0))</f>
        <v>Холодное водоснабжение. Питьевая вода</v>
      </c>
      <c r="F13" s="1174" t="s">
        <v>19</v>
      </c>
      <c r="G13" s="1175"/>
      <c r="H13" s="1176">
        <v>1</v>
      </c>
      <c r="I13" s="1167" t="s">
        <v>22</v>
      </c>
      <c r="J13" s="1169" t="s">
        <v>19</v>
      </c>
      <c r="K13" s="349"/>
      <c r="L13" s="43" t="s">
        <v>109</v>
      </c>
      <c r="M13" s="350" t="s">
        <v>22</v>
      </c>
      <c r="N13" s="466"/>
      <c r="O13" s="69" t="s">
        <v>117</v>
      </c>
      <c r="P13" s="69" t="str">
        <f>$E$13</f>
        <v>Холодное водоснабжение. Питьевая вода</v>
      </c>
      <c r="Q13" s="69" t="str">
        <f>IF($F$13="нет","без дифференциации",$I$13)</f>
        <v>без дифференциации</v>
      </c>
      <c r="R13" s="69" t="str">
        <f>IF($J$13="нет","без дифференциации",M13)</f>
        <v>без дифференциации</v>
      </c>
      <c r="S13" s="69"/>
      <c r="T13" s="69"/>
      <c r="U13" s="17"/>
      <c r="V13" s="17" t="s">
        <v>118</v>
      </c>
      <c r="W13" s="17"/>
      <c r="X13" s="17"/>
      <c r="Y13" s="82" t="s">
        <v>119</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70"/>
      <c r="E14" s="1172"/>
      <c r="F14" s="1169"/>
      <c r="G14" s="1175"/>
      <c r="H14" s="1176"/>
      <c r="I14" s="1168" t="s">
        <v>22</v>
      </c>
      <c r="J14" s="1169"/>
      <c r="K14" s="237"/>
      <c r="L14" s="88"/>
      <c r="M14" s="352" t="s">
        <v>120</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70"/>
      <c r="E15" s="1173"/>
      <c r="F15" s="1169"/>
      <c r="G15" s="624"/>
      <c r="H15" s="625"/>
      <c r="I15" s="110" t="s">
        <v>121</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 customHeight="1">
      <c r="A16"/>
      <c r="B16"/>
      <c r="C16" s="1181" t="s">
        <v>122</v>
      </c>
      <c r="D16" s="1170" t="s">
        <v>110</v>
      </c>
      <c r="E16" s="1171" t="str">
        <f>INDEX(VD_NAME_LIST,MATCH("4189674",VD_ID_LIST,0))</f>
        <v>Транспортировка. Питьевая вода</v>
      </c>
      <c r="F16" s="1169" t="s">
        <v>19</v>
      </c>
      <c r="G16" s="1177"/>
      <c r="H16" s="1159">
        <v>1</v>
      </c>
      <c r="I16" s="1179" t="str">
        <f>IF(U16="","",INDEX(TERRITORY_MR_LIST,MATCH(U16,TERRITORY_LIST_ID,0)))</f>
        <v/>
      </c>
      <c r="J16" s="1169" t="s">
        <v>19</v>
      </c>
      <c r="K16" s="474"/>
      <c r="L16" s="43" t="s">
        <v>109</v>
      </c>
      <c r="M16" s="350"/>
      <c r="O16" s="82" t="s">
        <v>123</v>
      </c>
      <c r="P16" s="82" t="str">
        <f>$E$16</f>
        <v>Транспортировка. Питьевая вода</v>
      </c>
      <c r="Q16" s="82" t="str">
        <f>IF($F$16="нет","без дифференциации",$I$16)</f>
        <v>без дифференциации</v>
      </c>
      <c r="R16" s="82" t="str">
        <f>IF($J$16="нет","без дифференциации",$M$16)</f>
        <v>без дифференциации</v>
      </c>
      <c r="S16" s="82"/>
      <c r="T16" s="82"/>
      <c r="U16" s="351"/>
      <c r="V16" s="82" t="s">
        <v>124</v>
      </c>
      <c r="W16" s="82"/>
      <c r="X16" s="82"/>
      <c r="Y16" s="82" t="s">
        <v>119</v>
      </c>
      <c r="Z16" s="82">
        <v>1705000</v>
      </c>
    </row>
    <row r="17" spans="1:39" ht="15" customHeight="1">
      <c r="A17"/>
      <c r="B17"/>
      <c r="C17" s="1182"/>
      <c r="D17" s="1170"/>
      <c r="E17" s="1172"/>
      <c r="F17" s="1169"/>
      <c r="G17" s="1178"/>
      <c r="H17" s="1159"/>
      <c r="I17" s="1180"/>
      <c r="J17" s="1169"/>
      <c r="K17" s="237"/>
      <c r="L17" s="88"/>
      <c r="M17" s="352" t="s">
        <v>120</v>
      </c>
      <c r="O17" s="82"/>
      <c r="P17" s="82"/>
      <c r="Q17" s="82"/>
      <c r="R17" s="82"/>
      <c r="S17" s="82"/>
      <c r="T17" s="82"/>
      <c r="U17" s="351"/>
      <c r="V17" s="82"/>
      <c r="W17" s="82"/>
      <c r="X17" s="82"/>
    </row>
    <row r="18" spans="1:39" ht="15" customHeight="1">
      <c r="A18"/>
      <c r="B18"/>
      <c r="C18" s="1182"/>
      <c r="D18" s="1170"/>
      <c r="E18" s="1173"/>
      <c r="F18" s="1169"/>
      <c r="G18" s="237"/>
      <c r="H18" s="88"/>
      <c r="I18" s="110" t="s">
        <v>121</v>
      </c>
      <c r="J18" s="88"/>
      <c r="K18" s="88"/>
      <c r="L18" s="88"/>
      <c r="M18" s="353"/>
      <c r="O18" s="82"/>
      <c r="P18" s="82"/>
      <c r="Q18" s="82"/>
      <c r="R18" s="82"/>
      <c r="S18" s="82"/>
      <c r="T18" s="82"/>
      <c r="U18" s="351"/>
      <c r="V18" s="82"/>
      <c r="W18" s="82"/>
      <c r="X18" s="82"/>
    </row>
    <row r="19" spans="1:39" ht="15" customHeight="1">
      <c r="A19"/>
      <c r="B19"/>
      <c r="C19" s="1181" t="s">
        <v>122</v>
      </c>
      <c r="D19" s="1170" t="s">
        <v>90</v>
      </c>
      <c r="E19" s="1171" t="str">
        <f>INDEX(VD_NAME_LIST,MATCH("4189677",VD_ID_LIST,0))</f>
        <v>Подключение (технологическое присоединение) к централизованной системе водоснабжения</v>
      </c>
      <c r="F19" s="1169" t="s">
        <v>19</v>
      </c>
      <c r="G19" s="1177"/>
      <c r="H19" s="1159">
        <v>1</v>
      </c>
      <c r="I19" s="1179" t="str">
        <f>IF(U19="","",INDEX(TERRITORY_MR_LIST,MATCH(U19,TERRITORY_LIST_ID,0)))</f>
        <v/>
      </c>
      <c r="J19" s="1169" t="s">
        <v>19</v>
      </c>
      <c r="K19" s="474"/>
      <c r="L19" s="43" t="s">
        <v>109</v>
      </c>
      <c r="M19" s="350"/>
      <c r="O19" s="82" t="s">
        <v>125</v>
      </c>
      <c r="P19" s="82" t="str">
        <f>$E$19</f>
        <v>Подключение (технологическое присоединение) к централизованной системе водоснабжения</v>
      </c>
      <c r="Q19" s="82" t="str">
        <f>IF($F$19="нет","без дифференциации",$I$19)</f>
        <v>без дифференциации</v>
      </c>
      <c r="R19" s="82" t="str">
        <f>IF($J$19="нет","без дифференциации",$M$19)</f>
        <v>без дифференциации</v>
      </c>
      <c r="S19" s="82"/>
      <c r="T19" s="82"/>
      <c r="U19" s="351"/>
      <c r="V19" s="82" t="s">
        <v>126</v>
      </c>
      <c r="W19" s="82"/>
      <c r="X19" s="82"/>
      <c r="Y19" s="82" t="s">
        <v>119</v>
      </c>
      <c r="Z19" s="82">
        <v>1705000</v>
      </c>
    </row>
    <row r="20" spans="1:39" ht="15" customHeight="1">
      <c r="A20"/>
      <c r="B20"/>
      <c r="C20" s="1182"/>
      <c r="D20" s="1170"/>
      <c r="E20" s="1172"/>
      <c r="F20" s="1169"/>
      <c r="G20" s="1178"/>
      <c r="H20" s="1159"/>
      <c r="I20" s="1180"/>
      <c r="J20" s="1169"/>
      <c r="K20" s="237"/>
      <c r="L20" s="88"/>
      <c r="M20" s="352" t="s">
        <v>120</v>
      </c>
      <c r="O20" s="82"/>
      <c r="P20" s="82"/>
      <c r="Q20" s="82"/>
      <c r="R20" s="82"/>
      <c r="S20" s="82"/>
      <c r="T20" s="82"/>
      <c r="U20" s="351"/>
      <c r="V20" s="82"/>
      <c r="W20" s="82"/>
      <c r="X20" s="82"/>
    </row>
    <row r="21" spans="1:39" ht="15" customHeight="1">
      <c r="A21"/>
      <c r="B21"/>
      <c r="C21" s="1182"/>
      <c r="D21" s="1170"/>
      <c r="E21" s="1173"/>
      <c r="F21" s="1169"/>
      <c r="G21" s="237"/>
      <c r="H21" s="88"/>
      <c r="I21" s="110" t="s">
        <v>121</v>
      </c>
      <c r="J21" s="88"/>
      <c r="K21" s="88"/>
      <c r="L21" s="88"/>
      <c r="M21" s="353"/>
      <c r="O21" s="82"/>
      <c r="P21" s="82"/>
      <c r="Q21" s="82"/>
      <c r="R21" s="82"/>
      <c r="S21" s="82"/>
      <c r="T21" s="82"/>
      <c r="U21" s="351"/>
      <c r="V21" s="82"/>
      <c r="W21" s="82"/>
      <c r="X21" s="82"/>
    </row>
    <row r="22" spans="1:39" ht="15" customHeight="1">
      <c r="A22"/>
      <c r="B22"/>
      <c r="C22" s="1181" t="s">
        <v>122</v>
      </c>
      <c r="D22" s="1170" t="s">
        <v>91</v>
      </c>
      <c r="E22" s="1171" t="str">
        <f>INDEX(VD_NAME_LIST,MATCH("4189673",VD_ID_LIST,0))</f>
        <v>Холодное водоснабжение. Подвозная вода</v>
      </c>
      <c r="F22" s="1169" t="s">
        <v>19</v>
      </c>
      <c r="G22" s="1177"/>
      <c r="H22" s="1159">
        <v>1</v>
      </c>
      <c r="I22" s="1179" t="str">
        <f>IF(U22="","",INDEX(TERRITORY_MR_LIST,MATCH(U22,TERRITORY_LIST_ID,0)))</f>
        <v/>
      </c>
      <c r="J22" s="1169" t="s">
        <v>19</v>
      </c>
      <c r="K22" s="474"/>
      <c r="L22" s="43" t="s">
        <v>109</v>
      </c>
      <c r="M22" s="350"/>
      <c r="O22" s="82" t="s">
        <v>127</v>
      </c>
      <c r="P22" s="82" t="str">
        <f>$E$22</f>
        <v>Холодное водоснабжение. Подвозная вода</v>
      </c>
      <c r="Q22" s="82" t="str">
        <f>IF($F$22="нет","без дифференциации",$I$22)</f>
        <v>без дифференциации</v>
      </c>
      <c r="R22" s="82" t="str">
        <f>IF($J$22="нет","без дифференциации",$M$22)</f>
        <v>без дифференциации</v>
      </c>
      <c r="S22" s="82"/>
      <c r="T22" s="82"/>
      <c r="U22" s="351"/>
      <c r="V22" s="82" t="s">
        <v>128</v>
      </c>
      <c r="W22" s="82"/>
      <c r="X22" s="82"/>
      <c r="Y22" s="82" t="s">
        <v>119</v>
      </c>
      <c r="Z22" s="82">
        <v>1705000</v>
      </c>
    </row>
    <row r="23" spans="1:39" ht="15" customHeight="1">
      <c r="A23"/>
      <c r="B23"/>
      <c r="C23" s="1182"/>
      <c r="D23" s="1170"/>
      <c r="E23" s="1172"/>
      <c r="F23" s="1169"/>
      <c r="G23" s="1178"/>
      <c r="H23" s="1159"/>
      <c r="I23" s="1180"/>
      <c r="J23" s="1169"/>
      <c r="K23" s="237"/>
      <c r="L23" s="88"/>
      <c r="M23" s="352" t="s">
        <v>120</v>
      </c>
      <c r="O23" s="82"/>
      <c r="P23" s="82"/>
      <c r="Q23" s="82"/>
      <c r="R23" s="82"/>
      <c r="S23" s="82"/>
      <c r="T23" s="82"/>
      <c r="U23" s="351"/>
      <c r="V23" s="82"/>
      <c r="W23" s="82"/>
      <c r="X23" s="82"/>
    </row>
    <row r="24" spans="1:39" ht="15" customHeight="1">
      <c r="A24"/>
      <c r="B24"/>
      <c r="C24" s="1182"/>
      <c r="D24" s="1170"/>
      <c r="E24" s="1173"/>
      <c r="F24" s="1169"/>
      <c r="G24" s="237"/>
      <c r="H24" s="88"/>
      <c r="I24" s="110" t="s">
        <v>121</v>
      </c>
      <c r="J24" s="88"/>
      <c r="K24" s="88"/>
      <c r="L24" s="88"/>
      <c r="M24" s="353"/>
      <c r="O24" s="82"/>
      <c r="P24" s="82"/>
      <c r="Q24" s="82"/>
      <c r="R24" s="82"/>
      <c r="S24" s="82"/>
      <c r="T24" s="82"/>
      <c r="U24" s="351"/>
      <c r="V24" s="82"/>
      <c r="W24" s="82"/>
      <c r="X24" s="82"/>
    </row>
    <row r="25" spans="1:39" ht="15.75" customHeight="1">
      <c r="A25" s="354"/>
      <c r="B25" s="33"/>
      <c r="C25" s="55"/>
      <c r="D25" s="237"/>
      <c r="E25" s="111" t="s">
        <v>129</v>
      </c>
      <c r="F25" s="88"/>
      <c r="G25" s="88"/>
      <c r="H25" s="88"/>
      <c r="I25" s="88"/>
      <c r="J25" s="88"/>
      <c r="K25" s="88" t="s">
        <v>22</v>
      </c>
      <c r="L25" s="88"/>
      <c r="M25" s="353"/>
      <c r="N25" s="466"/>
      <c r="AM25" s="35">
        <v>15</v>
      </c>
    </row>
    <row r="26" spans="1:39" ht="11.25" hidden="1" customHeight="1">
      <c r="A26" s="35" t="s">
        <v>82</v>
      </c>
      <c r="B26" s="35">
        <v>0</v>
      </c>
      <c r="C26" s="35">
        <v>3</v>
      </c>
      <c r="D26" s="35">
        <v>4</v>
      </c>
      <c r="E26" s="35">
        <v>44</v>
      </c>
      <c r="F26" s="35">
        <v>6</v>
      </c>
      <c r="G26" s="35">
        <v>4</v>
      </c>
      <c r="H26" s="35">
        <v>5</v>
      </c>
      <c r="I26" s="35">
        <v>52</v>
      </c>
      <c r="J26" s="35">
        <v>6</v>
      </c>
      <c r="K26" s="35">
        <v>3</v>
      </c>
      <c r="L26" s="35">
        <v>6</v>
      </c>
      <c r="M26" s="35">
        <v>56</v>
      </c>
      <c r="N26" s="82">
        <v>8</v>
      </c>
      <c r="O26" s="69">
        <v>0</v>
      </c>
      <c r="P26" s="69">
        <v>0</v>
      </c>
      <c r="Q26" s="69">
        <v>0</v>
      </c>
      <c r="R26" s="69">
        <v>0</v>
      </c>
      <c r="S26" s="69">
        <v>0</v>
      </c>
      <c r="T26" s="69">
        <v>0</v>
      </c>
      <c r="U26" s="17">
        <v>0</v>
      </c>
      <c r="V26" s="17">
        <v>0</v>
      </c>
      <c r="W26" s="17">
        <v>0</v>
      </c>
      <c r="X26" s="17">
        <v>0</v>
      </c>
      <c r="Y26" s="82">
        <v>0</v>
      </c>
      <c r="Z26" s="82">
        <v>0</v>
      </c>
      <c r="AA26" s="82">
        <v>0</v>
      </c>
      <c r="AB26" s="82">
        <v>0</v>
      </c>
      <c r="AC26" s="82">
        <v>0</v>
      </c>
      <c r="AD26" s="82">
        <v>0</v>
      </c>
      <c r="AE26" s="82">
        <v>0</v>
      </c>
      <c r="AF26" s="82">
        <v>0</v>
      </c>
      <c r="AG26" s="82">
        <v>0</v>
      </c>
      <c r="AH26" s="82">
        <v>0</v>
      </c>
      <c r="AI26" s="82">
        <v>0</v>
      </c>
      <c r="AJ26" s="82">
        <v>0</v>
      </c>
      <c r="AK26" s="82">
        <v>0</v>
      </c>
      <c r="AL26" s="82">
        <v>8</v>
      </c>
      <c r="AM26" s="35">
        <v>11</v>
      </c>
    </row>
  </sheetData>
  <sheetProtection formatColumns="0" formatRows="0" insertRows="0" deleteColumns="0" deleteRows="0" sort="0" autoFilter="0"/>
  <mergeCells count="43">
    <mergeCell ref="I22:I23"/>
    <mergeCell ref="J22:J23"/>
    <mergeCell ref="C22:C24"/>
    <mergeCell ref="D22:D24"/>
    <mergeCell ref="E22:E24"/>
    <mergeCell ref="F22:F24"/>
    <mergeCell ref="G22:G23"/>
    <mergeCell ref="H22:H23"/>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22 M13 M16 M19"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B40"/>
  <sheetViews>
    <sheetView showGridLines="0" topLeftCell="C21" zoomScale="90" workbookViewId="0">
      <selection activeCell="O25" sqref="O25"/>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25.7109375" style="11" customWidth="1"/>
    <col min="16" max="16" width="33.7109375" style="11" customWidth="1"/>
    <col min="17" max="17" width="93" style="63" customWidth="1"/>
    <col min="18" max="26" width="10" style="11" customWidth="1"/>
    <col min="27" max="27" width="10" style="302" customWidth="1"/>
    <col min="28" max="28" width="10.5703125" style="11" hidden="1"/>
  </cols>
  <sheetData>
    <row r="1" spans="1:28" s="63" customFormat="1" ht="22.5" hidden="1" customHeight="1">
      <c r="C1" s="301"/>
      <c r="G1" s="63">
        <v>4</v>
      </c>
      <c r="I1" s="63">
        <v>4</v>
      </c>
      <c r="K1" s="63">
        <v>4</v>
      </c>
      <c r="M1" s="63">
        <v>4</v>
      </c>
      <c r="O1" s="63">
        <v>4</v>
      </c>
      <c r="AA1" s="236"/>
      <c r="AB1" s="63" t="s">
        <v>14</v>
      </c>
    </row>
    <row r="2" spans="1:28" s="63" customFormat="1" ht="15" hidden="1" customHeight="1">
      <c r="C2" s="301"/>
      <c r="AA2" s="236"/>
      <c r="AB2" s="63">
        <v>0</v>
      </c>
    </row>
    <row r="3" spans="1:28" ht="22.5" hidden="1" customHeight="1">
      <c r="A3" s="11"/>
      <c r="B3" s="1409"/>
      <c r="C3" s="1181" t="s">
        <v>122</v>
      </c>
      <c r="D3" s="393" t="str">
        <f>B3&amp;".1"</f>
        <v>.1</v>
      </c>
      <c r="E3" s="394" t="s">
        <v>971</v>
      </c>
      <c r="F3" s="395" t="s">
        <v>312</v>
      </c>
      <c r="G3" s="391"/>
      <c r="H3" s="228"/>
      <c r="I3" s="391"/>
      <c r="J3" s="228"/>
      <c r="K3" s="391"/>
      <c r="L3" s="228"/>
      <c r="M3" s="391"/>
      <c r="N3" s="228"/>
      <c r="O3" s="391"/>
      <c r="P3" s="228"/>
      <c r="Q3" s="67" t="s">
        <v>972</v>
      </c>
      <c r="AB3" s="11">
        <v>0</v>
      </c>
    </row>
    <row r="4" spans="1:28" ht="15" hidden="1" customHeight="1">
      <c r="A4" s="11"/>
      <c r="B4" s="1409"/>
      <c r="C4" s="1181"/>
      <c r="D4" s="393" t="str">
        <f>B3&amp;".2"</f>
        <v>.2</v>
      </c>
      <c r="E4" s="394" t="s">
        <v>973</v>
      </c>
      <c r="F4" s="395" t="s">
        <v>312</v>
      </c>
      <c r="G4" s="947" t="s">
        <v>22</v>
      </c>
      <c r="H4" s="228"/>
      <c r="I4" s="947" t="s">
        <v>22</v>
      </c>
      <c r="J4" s="228"/>
      <c r="K4" s="947" t="s">
        <v>22</v>
      </c>
      <c r="L4" s="228"/>
      <c r="M4" s="947" t="s">
        <v>22</v>
      </c>
      <c r="N4" s="228"/>
      <c r="O4" s="947" t="s">
        <v>22</v>
      </c>
      <c r="P4" s="228"/>
      <c r="Q4" s="67" t="s">
        <v>974</v>
      </c>
      <c r="AB4" s="11">
        <v>0</v>
      </c>
    </row>
    <row r="5" spans="1:28" s="63" customFormat="1" ht="15" hidden="1" customHeight="1">
      <c r="C5" s="301"/>
      <c r="AA5" s="236"/>
      <c r="AB5" s="63">
        <v>0</v>
      </c>
    </row>
    <row r="6" spans="1:28" ht="22.5" hidden="1" customHeight="1">
      <c r="A6" s="11"/>
      <c r="B6" s="1409"/>
      <c r="C6" s="1181" t="s">
        <v>122</v>
      </c>
      <c r="D6" s="393" t="str">
        <f>B6&amp;".1"</f>
        <v>.1</v>
      </c>
      <c r="E6" s="394" t="s">
        <v>975</v>
      </c>
      <c r="F6" s="395" t="s">
        <v>312</v>
      </c>
      <c r="G6" s="391"/>
      <c r="H6" s="228"/>
      <c r="I6" s="391"/>
      <c r="J6" s="228"/>
      <c r="K6" s="391"/>
      <c r="L6" s="228"/>
      <c r="M6" s="391"/>
      <c r="N6" s="228"/>
      <c r="O6" s="391"/>
      <c r="P6" s="228"/>
      <c r="Q6" s="67" t="s">
        <v>976</v>
      </c>
      <c r="AB6" s="11">
        <v>0</v>
      </c>
    </row>
    <row r="7" spans="1:28" ht="15" hidden="1" customHeight="1">
      <c r="A7" s="11"/>
      <c r="B7" s="1409"/>
      <c r="C7" s="1181"/>
      <c r="D7" s="393" t="str">
        <f>B6&amp;".2"</f>
        <v>.2</v>
      </c>
      <c r="E7" s="394" t="s">
        <v>973</v>
      </c>
      <c r="F7" s="395" t="s">
        <v>312</v>
      </c>
      <c r="G7" s="947" t="s">
        <v>22</v>
      </c>
      <c r="H7" s="228"/>
      <c r="I7" s="947" t="s">
        <v>22</v>
      </c>
      <c r="J7" s="228"/>
      <c r="K7" s="947" t="s">
        <v>22</v>
      </c>
      <c r="L7" s="228"/>
      <c r="M7" s="947" t="s">
        <v>22</v>
      </c>
      <c r="N7" s="228"/>
      <c r="O7" s="947" t="s">
        <v>22</v>
      </c>
      <c r="P7" s="228"/>
      <c r="Q7" s="67" t="s">
        <v>974</v>
      </c>
      <c r="AB7" s="11">
        <v>0</v>
      </c>
    </row>
    <row r="8" spans="1:28" s="63" customFormat="1" ht="15" hidden="1" customHeight="1">
      <c r="C8" s="301"/>
      <c r="AA8" s="236"/>
      <c r="AB8" s="63">
        <v>0</v>
      </c>
    </row>
    <row r="9" spans="1:28" ht="22.5" hidden="1" customHeight="1">
      <c r="A9" s="11"/>
      <c r="B9" s="1409"/>
      <c r="C9" s="1181" t="s">
        <v>122</v>
      </c>
      <c r="D9" s="393" t="str">
        <f>B9&amp;".1"</f>
        <v>.1</v>
      </c>
      <c r="E9" s="394" t="s">
        <v>977</v>
      </c>
      <c r="F9" s="395" t="s">
        <v>312</v>
      </c>
      <c r="G9" s="401" t="s">
        <v>22</v>
      </c>
      <c r="H9" s="228" t="s">
        <v>22</v>
      </c>
      <c r="I9" s="401" t="s">
        <v>22</v>
      </c>
      <c r="J9" s="228" t="s">
        <v>22</v>
      </c>
      <c r="K9" s="401" t="s">
        <v>22</v>
      </c>
      <c r="L9" s="228" t="s">
        <v>22</v>
      </c>
      <c r="M9" s="401" t="s">
        <v>22</v>
      </c>
      <c r="N9" s="228" t="s">
        <v>22</v>
      </c>
      <c r="O9" s="401" t="s">
        <v>22</v>
      </c>
      <c r="P9" s="228" t="s">
        <v>22</v>
      </c>
      <c r="Q9" s="67"/>
      <c r="AB9" s="11">
        <v>0</v>
      </c>
    </row>
    <row r="10" spans="1:28" ht="15" hidden="1" customHeight="1">
      <c r="A10" s="11"/>
      <c r="B10" s="1409"/>
      <c r="C10" s="1181"/>
      <c r="D10" s="393" t="str">
        <f>B9&amp;".2"</f>
        <v>.2</v>
      </c>
      <c r="E10" s="394" t="s">
        <v>978</v>
      </c>
      <c r="F10" s="395" t="s">
        <v>312</v>
      </c>
      <c r="G10" s="941" t="s">
        <v>22</v>
      </c>
      <c r="H10" s="228" t="s">
        <v>22</v>
      </c>
      <c r="I10" s="941" t="s">
        <v>22</v>
      </c>
      <c r="J10" s="228" t="s">
        <v>22</v>
      </c>
      <c r="K10" s="941" t="s">
        <v>22</v>
      </c>
      <c r="L10" s="228" t="s">
        <v>22</v>
      </c>
      <c r="M10" s="941" t="s">
        <v>22</v>
      </c>
      <c r="N10" s="228" t="s">
        <v>22</v>
      </c>
      <c r="O10" s="941" t="s">
        <v>22</v>
      </c>
      <c r="P10" s="228" t="s">
        <v>22</v>
      </c>
      <c r="Q10" s="67" t="s">
        <v>979</v>
      </c>
      <c r="AB10" s="11">
        <v>0</v>
      </c>
    </row>
    <row r="11" spans="1:28" ht="15" hidden="1" customHeight="1">
      <c r="A11" s="11"/>
      <c r="B11" s="1409"/>
      <c r="C11" s="1181"/>
      <c r="D11" s="393" t="str">
        <f>B9&amp;".3"</f>
        <v>.3</v>
      </c>
      <c r="E11" s="394" t="s">
        <v>980</v>
      </c>
      <c r="F11" s="395" t="s">
        <v>312</v>
      </c>
      <c r="G11" s="941" t="s">
        <v>22</v>
      </c>
      <c r="H11" s="228" t="s">
        <v>22</v>
      </c>
      <c r="I11" s="941" t="s">
        <v>22</v>
      </c>
      <c r="J11" s="228" t="s">
        <v>22</v>
      </c>
      <c r="K11" s="941" t="s">
        <v>22</v>
      </c>
      <c r="L11" s="228" t="s">
        <v>22</v>
      </c>
      <c r="M11" s="941" t="s">
        <v>22</v>
      </c>
      <c r="N11" s="228" t="s">
        <v>22</v>
      </c>
      <c r="O11" s="941" t="s">
        <v>22</v>
      </c>
      <c r="P11" s="228" t="s">
        <v>22</v>
      </c>
      <c r="Q11" s="67" t="s">
        <v>981</v>
      </c>
      <c r="AB11" s="11">
        <v>0</v>
      </c>
    </row>
    <row r="12" spans="1:28" s="63" customFormat="1" ht="15" hidden="1" customHeight="1">
      <c r="C12" s="301"/>
      <c r="AA12" s="236"/>
      <c r="AB12" s="63">
        <v>0</v>
      </c>
    </row>
    <row r="13" spans="1:28" ht="33.75" hidden="1" customHeight="1">
      <c r="A13" s="11"/>
      <c r="B13" s="1409"/>
      <c r="C13" s="1181" t="s">
        <v>122</v>
      </c>
      <c r="D13" s="393" t="str">
        <f>B13&amp;".1"</f>
        <v>.1</v>
      </c>
      <c r="E13" s="394" t="s">
        <v>982</v>
      </c>
      <c r="F13" s="395" t="s">
        <v>312</v>
      </c>
      <c r="G13" s="401" t="s">
        <v>22</v>
      </c>
      <c r="H13" s="228" t="s">
        <v>22</v>
      </c>
      <c r="I13" s="401" t="s">
        <v>22</v>
      </c>
      <c r="J13" s="228" t="s">
        <v>22</v>
      </c>
      <c r="K13" s="401" t="s">
        <v>22</v>
      </c>
      <c r="L13" s="228" t="s">
        <v>22</v>
      </c>
      <c r="M13" s="401" t="s">
        <v>22</v>
      </c>
      <c r="N13" s="228" t="s">
        <v>22</v>
      </c>
      <c r="O13" s="401" t="s">
        <v>22</v>
      </c>
      <c r="P13" s="228" t="s">
        <v>22</v>
      </c>
      <c r="Q13" s="67" t="s">
        <v>983</v>
      </c>
      <c r="AB13" s="11">
        <v>0</v>
      </c>
    </row>
    <row r="14" spans="1:28" ht="15" hidden="1" customHeight="1">
      <c r="B14" s="1409"/>
      <c r="C14" s="1181"/>
      <c r="D14" s="393" t="str">
        <f>B13&amp;".2"</f>
        <v>.2</v>
      </c>
      <c r="E14" s="394" t="s">
        <v>984</v>
      </c>
      <c r="F14" s="395" t="s">
        <v>312</v>
      </c>
      <c r="G14" s="941" t="s">
        <v>22</v>
      </c>
      <c r="H14" s="228" t="s">
        <v>22</v>
      </c>
      <c r="I14" s="941" t="s">
        <v>22</v>
      </c>
      <c r="J14" s="228" t="s">
        <v>22</v>
      </c>
      <c r="K14" s="941" t="s">
        <v>22</v>
      </c>
      <c r="L14" s="228" t="s">
        <v>22</v>
      </c>
      <c r="M14" s="941" t="s">
        <v>22</v>
      </c>
      <c r="N14" s="228" t="s">
        <v>22</v>
      </c>
      <c r="O14" s="941" t="s">
        <v>22</v>
      </c>
      <c r="P14" s="228" t="s">
        <v>22</v>
      </c>
      <c r="Q14" s="67" t="s">
        <v>985</v>
      </c>
      <c r="AB14" s="11">
        <v>0</v>
      </c>
    </row>
    <row r="15" spans="1:28" s="63" customFormat="1" ht="15" hidden="1" customHeight="1">
      <c r="C15" s="301"/>
      <c r="AA15" s="236"/>
      <c r="AB15" s="63">
        <v>0</v>
      </c>
    </row>
    <row r="16" spans="1:28" s="63" customFormat="1" ht="15" hidden="1" customHeight="1">
      <c r="C16" s="301"/>
      <c r="AA16" s="236"/>
      <c r="AB16" s="63">
        <v>0</v>
      </c>
    </row>
    <row r="17" spans="1:28" s="63" customFormat="1" ht="15" hidden="1" customHeight="1">
      <c r="C17" s="301"/>
      <c r="AA17" s="236"/>
      <c r="AB17" s="63">
        <v>0</v>
      </c>
    </row>
    <row r="18" spans="1:28" s="63" customFormat="1" ht="15" hidden="1" customHeight="1">
      <c r="C18" s="301"/>
      <c r="AA18" s="236"/>
      <c r="AB18" s="63">
        <v>0</v>
      </c>
    </row>
    <row r="19" spans="1:28" s="63" customFormat="1" ht="15" hidden="1" customHeight="1">
      <c r="C19" s="301"/>
      <c r="AA19" s="236"/>
      <c r="AB19" s="63">
        <v>0</v>
      </c>
    </row>
    <row r="20" spans="1:28" s="63" customFormat="1" ht="15" hidden="1" customHeight="1">
      <c r="C20" s="301"/>
      <c r="AA20" s="236"/>
      <c r="AB20" s="63">
        <v>0</v>
      </c>
    </row>
    <row r="21" spans="1:28" ht="15.75" customHeight="1">
      <c r="AB21" s="11">
        <v>15</v>
      </c>
    </row>
    <row r="22" spans="1:28" ht="23.25" customHeight="1">
      <c r="D22" s="12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74"/>
      <c r="F22" s="1274"/>
      <c r="G22" s="1274"/>
      <c r="H22" s="1274"/>
      <c r="I22" s="1274"/>
      <c r="J22" s="342"/>
      <c r="K22" s="1105"/>
      <c r="L22" s="1105"/>
      <c r="M22" s="1105"/>
      <c r="N22" s="1105"/>
      <c r="O22" s="1105"/>
      <c r="P22" s="1105"/>
      <c r="AB22" s="11">
        <v>22</v>
      </c>
    </row>
    <row r="23" spans="1:28" ht="15.75" customHeight="1">
      <c r="D23" s="1246" t="str">
        <f>IF(org=0,"Не определено",org)</f>
        <v>Сургутское городское муниципальное унитарное предприятие "Горводоканал"</v>
      </c>
      <c r="E23" s="1246"/>
      <c r="F23" s="1246"/>
      <c r="G23" s="1246"/>
      <c r="H23" s="1246"/>
      <c r="I23" s="1246"/>
      <c r="J23" s="342"/>
      <c r="K23" s="1103"/>
      <c r="L23" s="1103"/>
      <c r="M23" s="1103"/>
      <c r="N23" s="1103"/>
      <c r="O23" s="1103"/>
      <c r="P23" s="1103"/>
      <c r="AB23" s="11">
        <v>15</v>
      </c>
    </row>
    <row r="24" spans="1:28" ht="15.75" customHeight="1">
      <c r="G24" s="63">
        <v>22</v>
      </c>
      <c r="H24" s="435"/>
      <c r="I24" s="63">
        <v>22</v>
      </c>
      <c r="J24" s="435"/>
      <c r="K24" s="63" t="s">
        <v>22</v>
      </c>
      <c r="L24" s="435"/>
      <c r="M24" s="63" t="s">
        <v>22</v>
      </c>
      <c r="N24" s="435"/>
      <c r="O24" s="63" t="s">
        <v>22</v>
      </c>
      <c r="P24" s="435"/>
      <c r="AB24" s="11">
        <v>15</v>
      </c>
    </row>
    <row r="25" spans="1:28" s="11" customFormat="1" ht="1.1499999999999999" customHeight="1">
      <c r="A25" s="8"/>
      <c r="C25" s="87"/>
      <c r="G25" s="63"/>
      <c r="H25" s="435"/>
      <c r="I25" s="63" t="s">
        <v>117</v>
      </c>
      <c r="J25" s="435"/>
      <c r="K25" s="63" t="s">
        <v>123</v>
      </c>
      <c r="L25" s="435"/>
      <c r="M25" s="63" t="s">
        <v>125</v>
      </c>
      <c r="N25" s="435"/>
      <c r="O25" s="63" t="s">
        <v>127</v>
      </c>
      <c r="P25" s="435"/>
      <c r="Q25" s="63"/>
      <c r="AA25" s="302"/>
      <c r="AB25" s="11">
        <v>1</v>
      </c>
    </row>
    <row r="26" spans="1:28" ht="15.75" customHeight="1">
      <c r="D26" s="409"/>
      <c r="E26" s="1383" t="s">
        <v>105</v>
      </c>
      <c r="F26" s="1384"/>
      <c r="G26" s="1410" t="str">
        <f>IF(G25="","",INDEX(DIFFERENTIATION_UNMERGE_VD,MATCH(G25,DIFFERENTIATION_ID_DIFF,0)))</f>
        <v/>
      </c>
      <c r="H26" s="1411"/>
      <c r="I26" s="1410" t="str">
        <f>IF(I25="","",INDEX(DIFFERENTIATION_UNMERGE_VD,MATCH(I25,DIFFERENTIATION_ID_DIFF,0)))</f>
        <v>Холодное водоснабжение. Питьевая вода</v>
      </c>
      <c r="J26" s="1411"/>
      <c r="K26" s="1410" t="str">
        <f>IF(K25="","",INDEX(DIFFERENTIATION_UNMERGE_VD,MATCH(K25,DIFFERENTIATION_ID_DIFF,0)))</f>
        <v>Транспортировка. Питьевая вода</v>
      </c>
      <c r="L26" s="1411"/>
      <c r="M26" s="1410" t="str">
        <f>IF(M25="","",INDEX(DIFFERENTIATION_UNMERGE_VD,MATCH(M25,DIFFERENTIATION_ID_DIFF,0)))</f>
        <v>Подключение (технологическое присоединение) к централизованной системе водоснабжения</v>
      </c>
      <c r="N26" s="1411"/>
      <c r="O26" s="1410" t="str">
        <f>IF(O25="","",INDEX(DIFFERENTIATION_UNMERGE_VD,MATCH(O25,DIFFERENTIATION_ID_DIFF,0)))</f>
        <v>Холодное водоснабжение. Подвозная вода</v>
      </c>
      <c r="P26" s="1411"/>
      <c r="Q26" s="1224" t="s">
        <v>307</v>
      </c>
      <c r="AB26" s="11">
        <v>15</v>
      </c>
    </row>
    <row r="27" spans="1:28" s="11" customFormat="1" ht="15.75" customHeight="1">
      <c r="A27" s="8"/>
      <c r="C27" s="87"/>
      <c r="D27" s="409"/>
      <c r="E27" s="1383" t="s">
        <v>568</v>
      </c>
      <c r="F27" s="1384"/>
      <c r="G27" s="1410" t="str">
        <f>IF(G25="","",INDEX(DIFFERENTIATION_UNMERGE_AREA,MATCH(G25,DIFFERENTIATION_ID_DIFF,0)))</f>
        <v/>
      </c>
      <c r="H27" s="1411"/>
      <c r="I27" s="1410" t="str">
        <f>IF(I25="","",INDEX(DIFFERENTIATION_UNMERGE_AREA,MATCH(I25,DIFFERENTIATION_ID_DIFF,0)))</f>
        <v>без дифференциации</v>
      </c>
      <c r="J27" s="1411"/>
      <c r="K27" s="1410" t="str">
        <f>IF(K25="","",INDEX(DIFFERENTIATION_UNMERGE_AREA,MATCH(K25,DIFFERENTIATION_ID_DIFF,0)))</f>
        <v>без дифференциации</v>
      </c>
      <c r="L27" s="1411"/>
      <c r="M27" s="1410" t="str">
        <f>IF(M25="","",INDEX(DIFFERENTIATION_UNMERGE_AREA,MATCH(M25,DIFFERENTIATION_ID_DIFF,0)))</f>
        <v>без дифференциации</v>
      </c>
      <c r="N27" s="1411"/>
      <c r="O27" s="1410" t="str">
        <f>IF(O25="","",INDEX(DIFFERENTIATION_UNMERGE_AREA,MATCH(O25,DIFFERENTIATION_ID_DIFF,0)))</f>
        <v>без дифференциации</v>
      </c>
      <c r="P27" s="1411"/>
      <c r="Q27" s="1228"/>
      <c r="AA27" s="302"/>
      <c r="AB27" s="11">
        <v>15</v>
      </c>
    </row>
    <row r="28" spans="1:28" s="11" customFormat="1" ht="15.75" customHeight="1">
      <c r="A28" s="8"/>
      <c r="C28" s="87"/>
      <c r="D28" s="409"/>
      <c r="E28" s="1383" t="s">
        <v>569</v>
      </c>
      <c r="F28" s="1384"/>
      <c r="G28" s="1410" t="str">
        <f>IF(G25="","",INDEX(DIFFERENTIATION_UNMERGE_SYSTEM,MATCH(G25,DIFFERENTIATION_ID_DIFF,0)))</f>
        <v/>
      </c>
      <c r="H28" s="1411"/>
      <c r="I28" s="1410" t="str">
        <f>IF(I25="","",INDEX(DIFFERENTIATION_UNMERGE_SYSTEM,MATCH(I25,DIFFERENTIATION_ID_DIFF,0)))</f>
        <v>без дифференциации</v>
      </c>
      <c r="J28" s="1411"/>
      <c r="K28" s="1410" t="str">
        <f>IF(K25="","",INDEX(DIFFERENTIATION_UNMERGE_SYSTEM,MATCH(K25,DIFFERENTIATION_ID_DIFF,0)))</f>
        <v>без дифференциации</v>
      </c>
      <c r="L28" s="1411"/>
      <c r="M28" s="1410" t="str">
        <f>IF(M25="","",INDEX(DIFFERENTIATION_UNMERGE_SYSTEM,MATCH(M25,DIFFERENTIATION_ID_DIFF,0)))</f>
        <v>без дифференциации</v>
      </c>
      <c r="N28" s="1411"/>
      <c r="O28" s="1410" t="str">
        <f>IF(O25="","",INDEX(DIFFERENTIATION_UNMERGE_SYSTEM,MATCH(O25,DIFFERENTIATION_ID_DIFF,0)))</f>
        <v>без дифференциации</v>
      </c>
      <c r="P28" s="1411"/>
      <c r="Q28" s="1228"/>
      <c r="AA28" s="302"/>
      <c r="AB28" s="11">
        <v>15</v>
      </c>
    </row>
    <row r="29" spans="1:28" s="11" customFormat="1" ht="15.75" customHeight="1">
      <c r="A29" s="8"/>
      <c r="C29" s="87"/>
      <c r="D29" s="1385" t="s">
        <v>306</v>
      </c>
      <c r="E29" s="1386"/>
      <c r="F29" s="1386"/>
      <c r="G29" s="512"/>
      <c r="H29" s="512"/>
      <c r="I29" s="512"/>
      <c r="J29" s="513"/>
      <c r="K29" s="512"/>
      <c r="L29" s="512"/>
      <c r="M29" s="512"/>
      <c r="N29" s="512"/>
      <c r="O29" s="512"/>
      <c r="P29" s="512"/>
      <c r="Q29" s="1228"/>
      <c r="AA29" s="302"/>
      <c r="AB29" s="11">
        <v>15</v>
      </c>
    </row>
    <row r="30" spans="1:28" ht="35.65" customHeight="1">
      <c r="D30" s="41" t="s">
        <v>88</v>
      </c>
      <c r="E30" s="41" t="s">
        <v>308</v>
      </c>
      <c r="F30" s="41" t="s">
        <v>570</v>
      </c>
      <c r="G30" s="389" t="s">
        <v>309</v>
      </c>
      <c r="H30" s="41" t="s">
        <v>396</v>
      </c>
      <c r="I30" s="389" t="s">
        <v>309</v>
      </c>
      <c r="J30" s="41" t="s">
        <v>396</v>
      </c>
      <c r="K30" s="389" t="s">
        <v>309</v>
      </c>
      <c r="L30" s="41" t="s">
        <v>396</v>
      </c>
      <c r="M30" s="389" t="s">
        <v>309</v>
      </c>
      <c r="N30" s="41" t="s">
        <v>396</v>
      </c>
      <c r="O30" s="389" t="s">
        <v>309</v>
      </c>
      <c r="P30" s="41" t="s">
        <v>396</v>
      </c>
      <c r="Q30" s="1231"/>
      <c r="AB30" s="11">
        <v>34</v>
      </c>
    </row>
    <row r="31" spans="1:28" ht="15" hidden="1" customHeight="1">
      <c r="D31" s="344"/>
      <c r="E31" s="344"/>
      <c r="F31" s="344"/>
      <c r="G31" s="87"/>
      <c r="H31" s="87"/>
      <c r="I31" s="87"/>
      <c r="J31" s="87"/>
      <c r="K31" s="87"/>
      <c r="L31" s="87"/>
      <c r="M31" s="87"/>
      <c r="N31" s="87"/>
      <c r="O31" s="87"/>
      <c r="P31" s="87"/>
      <c r="Q31" s="67"/>
      <c r="AB31" s="11">
        <v>0</v>
      </c>
    </row>
    <row r="32" spans="1:28" ht="24" customHeight="1">
      <c r="A32" s="11"/>
      <c r="B32" s="11" t="s">
        <v>986</v>
      </c>
      <c r="C32" s="77"/>
      <c r="D32" s="396">
        <v>1</v>
      </c>
      <c r="E32" s="397" t="s">
        <v>987</v>
      </c>
      <c r="F32" s="395" t="s">
        <v>312</v>
      </c>
      <c r="G32" s="395" t="s">
        <v>312</v>
      </c>
      <c r="H32" s="395" t="s">
        <v>312</v>
      </c>
      <c r="I32" s="395" t="s">
        <v>312</v>
      </c>
      <c r="J32" s="395" t="s">
        <v>312</v>
      </c>
      <c r="K32" s="395" t="s">
        <v>312</v>
      </c>
      <c r="L32" s="395" t="s">
        <v>312</v>
      </c>
      <c r="M32" s="395" t="s">
        <v>312</v>
      </c>
      <c r="N32" s="395" t="s">
        <v>312</v>
      </c>
      <c r="O32" s="395" t="s">
        <v>312</v>
      </c>
      <c r="P32" s="395" t="s">
        <v>312</v>
      </c>
      <c r="Q32" s="67"/>
      <c r="AB32" s="11">
        <v>23</v>
      </c>
    </row>
    <row r="33" spans="1:28" ht="11.45" customHeight="1">
      <c r="A33" s="11"/>
      <c r="C33" s="11"/>
      <c r="D33" s="40"/>
      <c r="E33" s="110" t="s">
        <v>594</v>
      </c>
      <c r="F33" s="334"/>
      <c r="G33" s="334"/>
      <c r="H33" s="334"/>
      <c r="I33" s="334"/>
      <c r="J33" s="334"/>
      <c r="K33" s="334"/>
      <c r="L33" s="334"/>
      <c r="M33" s="334"/>
      <c r="N33" s="334"/>
      <c r="O33" s="334"/>
      <c r="P33" s="334"/>
      <c r="Q33" s="335"/>
      <c r="AA33" s="11"/>
      <c r="AB33" s="11">
        <v>11</v>
      </c>
    </row>
    <row r="34" spans="1:28" ht="24" customHeight="1">
      <c r="A34" s="11"/>
      <c r="B34" s="342" t="s">
        <v>653</v>
      </c>
      <c r="C34" s="77"/>
      <c r="D34" s="396">
        <v>2</v>
      </c>
      <c r="E34" s="397" t="s">
        <v>988</v>
      </c>
      <c r="F34" s="395" t="s">
        <v>312</v>
      </c>
      <c r="G34" s="395" t="s">
        <v>312</v>
      </c>
      <c r="H34" s="395" t="s">
        <v>312</v>
      </c>
      <c r="I34" s="395"/>
      <c r="J34" s="395"/>
      <c r="K34" s="395" t="s">
        <v>312</v>
      </c>
      <c r="L34" s="395" t="s">
        <v>312</v>
      </c>
      <c r="M34" s="395" t="s">
        <v>312</v>
      </c>
      <c r="N34" s="395" t="s">
        <v>312</v>
      </c>
      <c r="O34" s="395" t="s">
        <v>312</v>
      </c>
      <c r="P34" s="395" t="s">
        <v>312</v>
      </c>
      <c r="Q34" s="67"/>
      <c r="AB34" s="11">
        <v>23</v>
      </c>
    </row>
    <row r="35" spans="1:28" ht="11.45" customHeight="1">
      <c r="A35" s="11"/>
      <c r="C35" s="11"/>
      <c r="D35" s="40"/>
      <c r="E35" s="110" t="s">
        <v>989</v>
      </c>
      <c r="F35" s="334"/>
      <c r="G35" s="398"/>
      <c r="H35" s="334"/>
      <c r="I35" s="398"/>
      <c r="J35" s="334"/>
      <c r="K35" s="398"/>
      <c r="L35" s="334"/>
      <c r="M35" s="398"/>
      <c r="N35" s="334"/>
      <c r="O35" s="398"/>
      <c r="P35" s="334"/>
      <c r="Q35" s="335"/>
      <c r="AA35" s="11"/>
      <c r="AB35" s="11">
        <v>11</v>
      </c>
    </row>
    <row r="36" spans="1:28" ht="71.25" customHeight="1">
      <c r="A36" s="11"/>
      <c r="B36" s="11" t="s">
        <v>990</v>
      </c>
      <c r="C36" s="77"/>
      <c r="D36" s="396">
        <v>3</v>
      </c>
      <c r="E36" s="397" t="s">
        <v>991</v>
      </c>
      <c r="F36" s="399" t="s">
        <v>312</v>
      </c>
      <c r="G36" s="297" t="s">
        <v>992</v>
      </c>
      <c r="H36" s="395" t="s">
        <v>312</v>
      </c>
      <c r="I36" s="297" t="s">
        <v>992</v>
      </c>
      <c r="J36" s="395" t="s">
        <v>312</v>
      </c>
      <c r="K36" s="297" t="s">
        <v>992</v>
      </c>
      <c r="L36" s="395" t="s">
        <v>312</v>
      </c>
      <c r="M36" s="297" t="s">
        <v>992</v>
      </c>
      <c r="N36" s="395" t="s">
        <v>312</v>
      </c>
      <c r="O36" s="297" t="s">
        <v>992</v>
      </c>
      <c r="P36" s="395" t="s">
        <v>312</v>
      </c>
      <c r="Q36" s="67" t="s">
        <v>993</v>
      </c>
      <c r="AB36" s="11">
        <v>68</v>
      </c>
    </row>
    <row r="37" spans="1:28" ht="11.45" customHeight="1">
      <c r="A37" s="11"/>
      <c r="C37" s="11"/>
      <c r="D37" s="40"/>
      <c r="E37" s="110" t="s">
        <v>994</v>
      </c>
      <c r="F37" s="334"/>
      <c r="G37" s="398"/>
      <c r="H37" s="398"/>
      <c r="I37" s="398"/>
      <c r="J37" s="398"/>
      <c r="K37" s="398"/>
      <c r="L37" s="398"/>
      <c r="M37" s="398"/>
      <c r="N37" s="398"/>
      <c r="O37" s="398"/>
      <c r="P37" s="398"/>
      <c r="Q37" s="335"/>
      <c r="AA37" s="11"/>
      <c r="AB37" s="11">
        <v>11</v>
      </c>
    </row>
    <row r="38" spans="1:28" ht="71.25" customHeight="1">
      <c r="A38" s="11"/>
      <c r="B38" s="11" t="s">
        <v>995</v>
      </c>
      <c r="C38" s="77"/>
      <c r="D38" s="396">
        <v>4</v>
      </c>
      <c r="E38" s="397" t="s">
        <v>996</v>
      </c>
      <c r="F38" s="399" t="s">
        <v>312</v>
      </c>
      <c r="G38" s="297" t="s">
        <v>992</v>
      </c>
      <c r="H38" s="41" t="s">
        <v>312</v>
      </c>
      <c r="I38" s="297" t="s">
        <v>992</v>
      </c>
      <c r="J38" s="41" t="s">
        <v>312</v>
      </c>
      <c r="K38" s="297" t="s">
        <v>992</v>
      </c>
      <c r="L38" s="41" t="s">
        <v>312</v>
      </c>
      <c r="M38" s="297" t="s">
        <v>992</v>
      </c>
      <c r="N38" s="41" t="s">
        <v>312</v>
      </c>
      <c r="O38" s="297" t="s">
        <v>992</v>
      </c>
      <c r="P38" s="41" t="s">
        <v>312</v>
      </c>
      <c r="Q38" s="385" t="s">
        <v>997</v>
      </c>
      <c r="AB38" s="11">
        <v>68</v>
      </c>
    </row>
    <row r="39" spans="1:28" ht="11.45" customHeight="1">
      <c r="A39" s="11"/>
      <c r="C39" s="11"/>
      <c r="D39" s="40"/>
      <c r="E39" s="110" t="s">
        <v>998</v>
      </c>
      <c r="F39" s="334"/>
      <c r="G39" s="334"/>
      <c r="H39" s="400"/>
      <c r="I39" s="334"/>
      <c r="J39" s="400"/>
      <c r="K39" s="334"/>
      <c r="L39" s="400"/>
      <c r="M39" s="334"/>
      <c r="N39" s="400"/>
      <c r="O39" s="334"/>
      <c r="P39" s="400"/>
      <c r="Q39" s="335"/>
      <c r="AA39" s="11"/>
      <c r="AB39" s="11">
        <v>11</v>
      </c>
    </row>
    <row r="40" spans="1:28" ht="22.5" hidden="1" customHeight="1">
      <c r="A40" s="8" t="s">
        <v>82</v>
      </c>
      <c r="B40" s="11">
        <v>0</v>
      </c>
      <c r="C40" s="87">
        <v>4</v>
      </c>
      <c r="D40" s="11">
        <v>6</v>
      </c>
      <c r="E40" s="11">
        <v>36</v>
      </c>
      <c r="F40" s="11">
        <v>9</v>
      </c>
      <c r="G40" s="11">
        <v>0</v>
      </c>
      <c r="H40" s="11">
        <v>0</v>
      </c>
      <c r="I40" s="11">
        <v>25</v>
      </c>
      <c r="J40" s="11">
        <v>33</v>
      </c>
      <c r="K40" s="11">
        <v>0</v>
      </c>
      <c r="L40" s="11">
        <v>0</v>
      </c>
      <c r="M40" s="11">
        <v>0</v>
      </c>
      <c r="N40" s="11">
        <v>0</v>
      </c>
      <c r="O40" s="11">
        <v>0</v>
      </c>
      <c r="P40" s="11">
        <v>0</v>
      </c>
      <c r="Q40" s="63">
        <v>93</v>
      </c>
      <c r="R40" s="11">
        <v>10</v>
      </c>
      <c r="S40" s="11">
        <v>10</v>
      </c>
      <c r="T40" s="11">
        <v>10</v>
      </c>
      <c r="U40" s="11">
        <v>10</v>
      </c>
      <c r="V40" s="11">
        <v>10</v>
      </c>
      <c r="W40" s="11">
        <v>10</v>
      </c>
      <c r="X40" s="11">
        <v>10</v>
      </c>
      <c r="Y40" s="11">
        <v>10</v>
      </c>
      <c r="Z40" s="11">
        <v>10</v>
      </c>
      <c r="AA40" s="302">
        <v>10</v>
      </c>
      <c r="AB40" s="11">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8"/>
  <sheetViews>
    <sheetView showGridLines="0" topLeftCell="E4" zoomScale="85" workbookViewId="0"/>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999</v>
      </c>
      <c r="AE3" s="8">
        <v>0</v>
      </c>
    </row>
    <row r="4" spans="1:31" ht="3" customHeight="1">
      <c r="AE4" s="11">
        <v>3</v>
      </c>
    </row>
    <row r="5" spans="1:31" ht="27.4" customHeight="1">
      <c r="F5" s="1274" t="str">
        <f>IP_NAME_FORM</f>
        <v>Форма 7. Информация об инвестиционных программах организации холодного водоснабжения и отчетах об их исполнении</v>
      </c>
      <c r="G5" s="1274"/>
      <c r="H5" s="1274"/>
      <c r="I5" s="1274"/>
      <c r="J5" s="1274"/>
      <c r="K5" s="1274"/>
      <c r="M5" s="17"/>
      <c r="AE5" s="11">
        <v>26</v>
      </c>
    </row>
    <row r="6" spans="1:31" s="11" customFormat="1" ht="16.899999999999999" customHeight="1">
      <c r="A6" s="303"/>
      <c r="B6" s="303"/>
      <c r="C6" s="303"/>
      <c r="D6" s="63"/>
      <c r="F6" s="1246" t="str">
        <f>IF(org=0,"Не определено",org)</f>
        <v>Сургутское городское муниципальное унитарное предприятие "Горводоканал"</v>
      </c>
      <c r="G6" s="1246"/>
      <c r="H6" s="1246"/>
      <c r="I6" s="1246"/>
      <c r="J6" s="1246"/>
      <c r="K6" s="1246"/>
      <c r="M6" s="17"/>
      <c r="AE6" s="11">
        <v>16</v>
      </c>
    </row>
    <row r="7" spans="1:31" ht="10.5" customHeight="1">
      <c r="AE7" s="11">
        <v>10</v>
      </c>
    </row>
    <row r="8" spans="1:31" ht="10.5" customHeight="1">
      <c r="F8" s="1123" t="s">
        <v>306</v>
      </c>
      <c r="G8" s="1146"/>
      <c r="H8" s="1146"/>
      <c r="I8" s="1146"/>
      <c r="J8" s="1146"/>
      <c r="K8" s="1146"/>
      <c r="L8" s="1146"/>
      <c r="M8" s="1146"/>
      <c r="N8" s="1146"/>
      <c r="O8" s="1146"/>
      <c r="P8" s="1146"/>
      <c r="Q8" s="1146"/>
      <c r="R8" s="1146"/>
      <c r="S8" s="1146"/>
      <c r="T8" s="1146"/>
      <c r="U8" s="1146"/>
      <c r="V8" s="1146"/>
      <c r="W8" s="1146"/>
      <c r="X8" s="1146"/>
      <c r="Y8" s="1146"/>
      <c r="Z8" s="1146"/>
      <c r="AA8" s="1146"/>
      <c r="AB8" s="1"/>
      <c r="AE8" s="11">
        <v>10</v>
      </c>
    </row>
    <row r="9" spans="1:31" ht="43.15" customHeight="1">
      <c r="A9" s="526"/>
      <c r="B9" s="526"/>
      <c r="C9" s="526"/>
      <c r="F9" s="1159" t="s">
        <v>88</v>
      </c>
      <c r="G9" s="1159" t="s">
        <v>999</v>
      </c>
      <c r="H9" s="1224" t="s">
        <v>1000</v>
      </c>
      <c r="I9" s="1159" t="s">
        <v>1001</v>
      </c>
      <c r="J9" s="1159" t="s">
        <v>1002</v>
      </c>
      <c r="K9" s="1159" t="s">
        <v>1003</v>
      </c>
      <c r="L9" s="1159" t="s">
        <v>1004</v>
      </c>
      <c r="M9" s="1159" t="s">
        <v>1005</v>
      </c>
      <c r="N9" s="1254" t="s">
        <v>1006</v>
      </c>
      <c r="O9" s="1254"/>
      <c r="P9" s="1254"/>
      <c r="Q9" s="1307" t="s">
        <v>1007</v>
      </c>
      <c r="R9" s="1308"/>
      <c r="S9" s="1308"/>
      <c r="T9" s="1309"/>
      <c r="U9" s="1307" t="s">
        <v>1008</v>
      </c>
      <c r="V9" s="1308"/>
      <c r="W9" s="1308"/>
      <c r="X9" s="1309"/>
      <c r="Y9" s="1123" t="s">
        <v>1009</v>
      </c>
      <c r="Z9" s="1146"/>
      <c r="AA9" s="1146"/>
      <c r="AB9" s="1"/>
      <c r="AE9" s="11">
        <v>41</v>
      </c>
    </row>
    <row r="10" spans="1:31" ht="43.15" customHeight="1">
      <c r="A10" s="526"/>
      <c r="B10" s="526"/>
      <c r="C10" s="526"/>
      <c r="F10" s="1224"/>
      <c r="G10" s="1224"/>
      <c r="H10" s="1279"/>
      <c r="I10" s="1224"/>
      <c r="J10" s="1224"/>
      <c r="K10" s="1224"/>
      <c r="L10" s="1224"/>
      <c r="M10" s="1224"/>
      <c r="N10" s="524" t="s">
        <v>1010</v>
      </c>
      <c r="O10" s="524" t="s">
        <v>1011</v>
      </c>
      <c r="P10" s="525" t="s">
        <v>1012</v>
      </c>
      <c r="Q10" s="524" t="s">
        <v>89</v>
      </c>
      <c r="R10" s="524" t="s">
        <v>1013</v>
      </c>
      <c r="S10" s="524" t="s">
        <v>1014</v>
      </c>
      <c r="T10" s="528" t="s">
        <v>1015</v>
      </c>
      <c r="U10" s="524" t="s">
        <v>89</v>
      </c>
      <c r="V10" s="524" t="s">
        <v>1016</v>
      </c>
      <c r="W10" s="524" t="s">
        <v>1014</v>
      </c>
      <c r="X10" s="528" t="s">
        <v>1015</v>
      </c>
      <c r="Y10" s="172" t="s">
        <v>1017</v>
      </c>
      <c r="Z10" s="1123" t="s">
        <v>88</v>
      </c>
      <c r="AA10" s="1"/>
      <c r="AB10" s="41" t="s">
        <v>1018</v>
      </c>
      <c r="AE10" s="11">
        <v>41</v>
      </c>
    </row>
    <row r="11" spans="1:31" s="68" customFormat="1" ht="5.25" hidden="1" customHeight="1">
      <c r="A11" s="313"/>
      <c r="B11" s="313"/>
      <c r="C11" s="313"/>
      <c r="E11" s="122"/>
      <c r="F11" s="1414" t="s">
        <v>382</v>
      </c>
      <c r="G11" s="1416"/>
      <c r="H11" s="1412"/>
      <c r="I11" s="1412"/>
      <c r="J11" s="1412"/>
      <c r="K11" s="1415"/>
      <c r="L11" s="1415"/>
      <c r="M11" s="1415"/>
      <c r="N11" s="1412"/>
      <c r="O11" s="1412"/>
      <c r="P11" s="1159"/>
      <c r="Q11" s="1234"/>
      <c r="R11" s="1234"/>
      <c r="S11" s="1234"/>
      <c r="T11" s="1412"/>
      <c r="U11" s="1234"/>
      <c r="V11" s="1234"/>
      <c r="W11" s="1234"/>
      <c r="X11" s="1412"/>
      <c r="Y11" s="1170"/>
      <c r="Z11" s="1170"/>
      <c r="AA11" s="1170"/>
      <c r="AB11" s="1170"/>
      <c r="AD11" s="68" t="s">
        <v>1019</v>
      </c>
      <c r="AE11" s="68">
        <v>0</v>
      </c>
    </row>
    <row r="12" spans="1:31" s="68" customFormat="1" ht="5.25" hidden="1" customHeight="1">
      <c r="A12" s="313"/>
      <c r="B12" s="313"/>
      <c r="C12" s="313"/>
      <c r="F12" s="1414"/>
      <c r="G12" s="1416"/>
      <c r="H12" s="1412"/>
      <c r="I12" s="1412"/>
      <c r="J12" s="1412"/>
      <c r="K12" s="1415"/>
      <c r="L12" s="1415"/>
      <c r="M12" s="1415"/>
      <c r="N12" s="1412"/>
      <c r="O12" s="1412"/>
      <c r="P12" s="1159"/>
      <c r="Q12" s="1234"/>
      <c r="R12" s="1234"/>
      <c r="S12" s="1234"/>
      <c r="T12" s="1412"/>
      <c r="U12" s="1234"/>
      <c r="V12" s="1234"/>
      <c r="W12" s="1234"/>
      <c r="X12" s="1412"/>
      <c r="Y12" s="1413"/>
      <c r="Z12" s="1413"/>
      <c r="AA12" s="1413"/>
      <c r="AB12" s="1413"/>
      <c r="AE12" s="68">
        <v>0</v>
      </c>
    </row>
    <row r="13" spans="1:31" ht="118.5" customHeight="1">
      <c r="E13" s="1182" t="s">
        <v>122</v>
      </c>
      <c r="F13" s="1417" t="s">
        <v>109</v>
      </c>
      <c r="G13" s="1418" t="s">
        <v>1020</v>
      </c>
      <c r="H13" s="1419" t="s">
        <v>62</v>
      </c>
      <c r="I13" s="1421">
        <v>44862</v>
      </c>
      <c r="J13" s="1423">
        <v>45889</v>
      </c>
      <c r="K13" s="1425" t="s">
        <v>1021</v>
      </c>
      <c r="L13" s="1426" t="s">
        <v>1022</v>
      </c>
      <c r="M13" s="1426" t="s">
        <v>1023</v>
      </c>
      <c r="N13" s="1430" t="s">
        <v>1024</v>
      </c>
      <c r="O13" s="1430" t="s">
        <v>1025</v>
      </c>
      <c r="P13" s="1431" t="str">
        <f>DATEDIF(DATEVALUE(N13),DATEVALUE(O13),"y")&amp;"г. "&amp;DATEDIF(DATEVALUE(N13),DATEVALUE(O13),"ym")&amp;"мес. "&amp;DATEVALUE(O13)-DATE(YEAR(DATEVALUE(O13)),MONTH(DATEVALUE(O13)),1)&amp;"дн. "</f>
        <v xml:space="preserve">2г. 11мес. 30дн. </v>
      </c>
      <c r="Q13" s="1427" t="s">
        <v>1026</v>
      </c>
      <c r="R13" s="1427" t="s">
        <v>1027</v>
      </c>
      <c r="S13" s="1427" t="s">
        <v>1028</v>
      </c>
      <c r="T13" s="1423" t="s">
        <v>1029</v>
      </c>
      <c r="U13" s="1427" t="s">
        <v>1030</v>
      </c>
      <c r="V13" s="1427" t="s">
        <v>1027</v>
      </c>
      <c r="W13" s="1427" t="s">
        <v>1031</v>
      </c>
      <c r="X13" s="1423">
        <v>45889</v>
      </c>
      <c r="Y13" s="1428" t="s">
        <v>19</v>
      </c>
      <c r="Z13" s="862"/>
      <c r="AA13" s="41">
        <v>1</v>
      </c>
      <c r="AB13" s="1122" t="s">
        <v>22</v>
      </c>
      <c r="AD13" s="68" t="s">
        <v>1032</v>
      </c>
    </row>
    <row r="14" spans="1:31" ht="118.5" customHeight="1">
      <c r="E14" s="1432"/>
      <c r="F14" s="1417" t="s">
        <v>382</v>
      </c>
      <c r="G14" s="1418"/>
      <c r="H14" s="1420"/>
      <c r="I14" s="1422"/>
      <c r="J14" s="1424"/>
      <c r="K14" s="1425"/>
      <c r="L14" s="1426"/>
      <c r="M14" s="1426"/>
      <c r="N14" s="1430"/>
      <c r="O14" s="1430"/>
      <c r="P14" s="1431"/>
      <c r="Q14" s="1427"/>
      <c r="R14" s="1427"/>
      <c r="S14" s="1427"/>
      <c r="T14" s="1424"/>
      <c r="U14" s="1427"/>
      <c r="V14" s="1427"/>
      <c r="W14" s="1427"/>
      <c r="X14" s="1424"/>
      <c r="Y14" s="1429"/>
      <c r="Z14" s="40"/>
      <c r="AA14" s="334"/>
      <c r="AB14" s="352" t="s">
        <v>1033</v>
      </c>
    </row>
    <row r="15" spans="1:31" ht="10.5" customHeight="1">
      <c r="F15" s="169"/>
      <c r="G15" s="110" t="s">
        <v>1034</v>
      </c>
      <c r="H15" s="110"/>
      <c r="I15" s="334"/>
      <c r="J15" s="334"/>
      <c r="K15" s="334"/>
      <c r="L15" s="334"/>
      <c r="M15" s="334"/>
      <c r="N15" s="334"/>
      <c r="O15" s="334"/>
      <c r="P15" s="334"/>
      <c r="Q15" s="334"/>
      <c r="R15" s="334"/>
      <c r="S15" s="334"/>
      <c r="T15" s="334"/>
      <c r="U15" s="334"/>
      <c r="V15" s="334"/>
      <c r="W15" s="334"/>
      <c r="X15" s="334"/>
      <c r="Y15" s="334"/>
      <c r="Z15" s="400"/>
      <c r="AA15" s="400"/>
      <c r="AB15" s="529"/>
      <c r="AE15" s="11">
        <v>10</v>
      </c>
    </row>
    <row r="16" spans="1:31" ht="10.5" customHeight="1">
      <c r="AE16" s="11">
        <v>10</v>
      </c>
    </row>
    <row r="17" spans="1:31" s="68" customFormat="1" ht="10.5" customHeight="1">
      <c r="A17" s="313"/>
      <c r="B17" s="313"/>
      <c r="C17" s="313"/>
      <c r="H17" s="68">
        <f>IFERROR(MATCH("нет",IP_MAIN_DIFFERENTIATION_EVENTS_FLAG,0),0)</f>
        <v>0</v>
      </c>
      <c r="AE17" s="68">
        <v>10</v>
      </c>
    </row>
    <row r="18" spans="1:31" ht="10.5" hidden="1" customHeight="1">
      <c r="A18" s="303" t="s">
        <v>82</v>
      </c>
      <c r="B18" s="303">
        <v>0</v>
      </c>
      <c r="C18" s="303">
        <v>0</v>
      </c>
      <c r="D18" s="63">
        <v>0</v>
      </c>
      <c r="E18" s="11">
        <v>3</v>
      </c>
      <c r="F18" s="11">
        <v>6</v>
      </c>
      <c r="G18" s="11">
        <v>37</v>
      </c>
      <c r="H18" s="11">
        <v>16</v>
      </c>
      <c r="I18" s="11">
        <v>19</v>
      </c>
      <c r="J18" s="11">
        <v>19</v>
      </c>
      <c r="K18" s="11">
        <v>24</v>
      </c>
      <c r="L18" s="11">
        <v>25</v>
      </c>
      <c r="M18" s="11">
        <v>25</v>
      </c>
      <c r="N18" s="11">
        <v>17</v>
      </c>
      <c r="O18" s="11">
        <v>17</v>
      </c>
      <c r="P18" s="11">
        <v>17</v>
      </c>
      <c r="Q18" s="11">
        <v>19</v>
      </c>
      <c r="R18" s="11">
        <v>19</v>
      </c>
      <c r="S18" s="11">
        <v>19</v>
      </c>
      <c r="T18" s="11">
        <v>19</v>
      </c>
      <c r="U18" s="11">
        <v>19</v>
      </c>
      <c r="V18" s="11">
        <v>19</v>
      </c>
      <c r="W18" s="11">
        <v>19</v>
      </c>
      <c r="X18" s="11">
        <v>19</v>
      </c>
      <c r="Y18" s="11">
        <v>7</v>
      </c>
      <c r="Z18" s="11">
        <v>3</v>
      </c>
      <c r="AA18" s="11">
        <v>6</v>
      </c>
      <c r="AB18" s="11">
        <v>34</v>
      </c>
      <c r="AC18" s="11">
        <v>8</v>
      </c>
      <c r="AD18" s="11">
        <v>8</v>
      </c>
      <c r="AE18" s="11">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3000000}">
      <formula1>"a"</formula1>
    </dataValidation>
    <dataValidation type="textLength" operator="lessThanOrEqual" allowBlank="1" showInputMessage="1" showErrorMessage="1" errorTitle="Ошибка" error="Допускается ввод не более 900 символов!" sqref="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410"/>
  <sheetViews>
    <sheetView showGridLines="0" topLeftCell="E4" zoomScale="70" workbookViewId="0"/>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9" width="57" style="11" customWidth="1"/>
    <col min="10" max="10" width="21.7109375" style="11" customWidth="1"/>
    <col min="11" max="11" width="34.57031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customWidth="1"/>
    <col min="31" max="31" width="15.7109375" style="11" customWidth="1"/>
    <col min="32" max="34" width="16" style="11" customWidth="1"/>
    <col min="35" max="37" width="16.7109375" style="1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74" t="str">
        <f>IP_NAME_FORM</f>
        <v>Форма 7. Информация об инвестиционных программах организации холодного водоснабжения и отчетах об их исполнении</v>
      </c>
      <c r="G5" s="1274"/>
      <c r="H5" s="1274"/>
      <c r="I5" s="1274"/>
      <c r="J5" s="1274"/>
      <c r="K5" s="1274"/>
      <c r="L5" s="668"/>
      <c r="M5" s="668"/>
      <c r="BG5" s="11">
        <v>26</v>
      </c>
    </row>
    <row r="6" spans="1:59" ht="10.5" customHeight="1">
      <c r="F6" s="1246" t="str">
        <f>IF(org=0,"Не определено",org)</f>
        <v>Сургутское городское муниципальное унитарное предприятие "Горводоканал"</v>
      </c>
      <c r="G6" s="1246"/>
      <c r="H6" s="1246"/>
      <c r="I6" s="1246"/>
      <c r="J6" s="1246"/>
      <c r="K6" s="1246"/>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35" t="s">
        <v>306</v>
      </c>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7"/>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54" t="s">
        <v>1035</v>
      </c>
      <c r="G9" s="1355" t="s">
        <v>1036</v>
      </c>
      <c r="H9" s="1402"/>
      <c r="I9" s="1159" t="s">
        <v>1037</v>
      </c>
      <c r="J9" s="1159"/>
      <c r="K9" s="1159" t="s">
        <v>1038</v>
      </c>
      <c r="L9" s="1159"/>
      <c r="M9" s="1159"/>
      <c r="N9" s="1159"/>
      <c r="O9" s="1159"/>
      <c r="P9" s="1159"/>
      <c r="Q9" s="1159"/>
      <c r="R9" s="1159"/>
      <c r="S9" s="1159"/>
      <c r="T9" s="1159"/>
      <c r="U9" s="1159"/>
      <c r="V9" s="1159"/>
      <c r="W9" s="1159"/>
      <c r="X9" s="1159"/>
      <c r="Y9" s="1159"/>
      <c r="Z9" s="1225" t="s">
        <v>1039</v>
      </c>
      <c r="AA9" s="1226"/>
      <c r="AB9" s="1159" t="s">
        <v>1040</v>
      </c>
      <c r="AC9" s="1159"/>
      <c r="AD9" s="1159"/>
      <c r="AE9" s="1159"/>
      <c r="AF9" s="1224" t="s">
        <v>1041</v>
      </c>
      <c r="AG9" s="1159" t="s">
        <v>1042</v>
      </c>
      <c r="AH9" s="1159"/>
      <c r="AI9" s="1224" t="s">
        <v>1043</v>
      </c>
      <c r="AJ9" s="1159" t="s">
        <v>1044</v>
      </c>
      <c r="AK9" s="1159"/>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54"/>
      <c r="G10" s="1356"/>
      <c r="H10" s="1258"/>
      <c r="I10" s="1159"/>
      <c r="J10" s="1159"/>
      <c r="K10" s="1159" t="s">
        <v>1045</v>
      </c>
      <c r="L10" s="1123" t="s">
        <v>1046</v>
      </c>
      <c r="M10" s="1"/>
      <c r="N10" s="1159" t="s">
        <v>1047</v>
      </c>
      <c r="O10" s="1159"/>
      <c r="P10" s="1159"/>
      <c r="Q10" s="1159"/>
      <c r="R10" s="1159"/>
      <c r="S10" s="1159"/>
      <c r="T10" s="1159"/>
      <c r="U10" s="1159"/>
      <c r="V10" s="1159"/>
      <c r="W10" s="1159"/>
      <c r="X10" s="1159"/>
      <c r="Y10" s="1159"/>
      <c r="Z10" s="1227"/>
      <c r="AA10" s="1228"/>
      <c r="AB10" s="1159"/>
      <c r="AC10" s="1159"/>
      <c r="AD10" s="1159"/>
      <c r="AE10" s="1159"/>
      <c r="AF10" s="1229"/>
      <c r="AG10" s="1159"/>
      <c r="AH10" s="1159"/>
      <c r="AI10" s="1229"/>
      <c r="AJ10" s="1159"/>
      <c r="AK10" s="1159"/>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54"/>
      <c r="G11" s="1356"/>
      <c r="H11" s="1258"/>
      <c r="I11" s="1159"/>
      <c r="J11" s="1159"/>
      <c r="K11" s="1159"/>
      <c r="L11" s="1224" t="s">
        <v>1048</v>
      </c>
      <c r="M11" s="1224" t="s">
        <v>1049</v>
      </c>
      <c r="N11" s="1159" t="s">
        <v>1050</v>
      </c>
      <c r="O11" s="1159"/>
      <c r="P11" s="1222" t="s">
        <v>1017</v>
      </c>
      <c r="Q11" s="1222" t="s">
        <v>1051</v>
      </c>
      <c r="R11" s="1222" t="s">
        <v>1052</v>
      </c>
      <c r="S11" s="1222" t="s">
        <v>1053</v>
      </c>
      <c r="T11" s="1222"/>
      <c r="U11" s="1222"/>
      <c r="V11" s="1222"/>
      <c r="W11" s="1222"/>
      <c r="X11" s="1222"/>
      <c r="Y11" s="1222"/>
      <c r="Z11" s="1227"/>
      <c r="AA11" s="1228"/>
      <c r="AB11" s="1159" t="s">
        <v>1054</v>
      </c>
      <c r="AC11" s="1159"/>
      <c r="AD11" s="1123" t="s">
        <v>1055</v>
      </c>
      <c r="AE11" s="1"/>
      <c r="AF11" s="1229"/>
      <c r="AG11" s="1159"/>
      <c r="AH11" s="1159"/>
      <c r="AI11" s="1229"/>
      <c r="AJ11" s="1159"/>
      <c r="AK11" s="1159"/>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54"/>
      <c r="G12" s="1357"/>
      <c r="H12" s="1434"/>
      <c r="I12" s="41" t="s">
        <v>89</v>
      </c>
      <c r="J12" s="41" t="s">
        <v>1056</v>
      </c>
      <c r="K12" s="1159"/>
      <c r="L12" s="1279"/>
      <c r="M12" s="1279"/>
      <c r="N12" s="1159"/>
      <c r="O12" s="1159"/>
      <c r="P12" s="1222"/>
      <c r="Q12" s="1222"/>
      <c r="R12" s="1222"/>
      <c r="S12" s="39" t="s">
        <v>86</v>
      </c>
      <c r="T12" s="39" t="s">
        <v>87</v>
      </c>
      <c r="U12" s="39" t="s">
        <v>85</v>
      </c>
      <c r="V12" s="39" t="s">
        <v>1057</v>
      </c>
      <c r="W12" s="39" t="s">
        <v>85</v>
      </c>
      <c r="X12" s="39" t="s">
        <v>1058</v>
      </c>
      <c r="Y12" s="39" t="s">
        <v>1059</v>
      </c>
      <c r="Z12" s="1230"/>
      <c r="AA12" s="1231"/>
      <c r="AB12" s="41" t="s">
        <v>1060</v>
      </c>
      <c r="AC12" s="41" t="s">
        <v>1061</v>
      </c>
      <c r="AD12" s="41" t="s">
        <v>1060</v>
      </c>
      <c r="AE12" s="41" t="s">
        <v>1061</v>
      </c>
      <c r="AF12" s="1279"/>
      <c r="AG12" s="41" t="s">
        <v>1062</v>
      </c>
      <c r="AH12" s="41" t="s">
        <v>1063</v>
      </c>
      <c r="AI12" s="1279"/>
      <c r="AJ12" s="41" t="s">
        <v>1062</v>
      </c>
      <c r="AK12" s="41" t="s">
        <v>1063</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21" customHeight="1">
      <c r="A14" s="313" t="s">
        <v>1032</v>
      </c>
      <c r="E14" s="10" t="s">
        <v>22</v>
      </c>
      <c r="F14" s="666" t="str">
        <f>INDEX(IP_MAIN_LIST_NAME_IP,MATCH(A14,IP_MAIN_LIST_IP_ID,0))&amp;" ("&amp;INDEX(IP_MAIN_START_DATE,MATCH(A14,IP_MAIN_LIST_IP_ID,0))&amp;"-"&amp;INDEX(IP_MAIN_END_DATE,MATCH(A14,IP_MAIN_LIST_IP_ID,0))&amp;")"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G14" s="667"/>
      <c r="H14" s="667"/>
      <c r="I14" s="684"/>
      <c r="J14" s="684"/>
      <c r="K14" s="685"/>
      <c r="L14" s="685"/>
      <c r="M14" s="685"/>
      <c r="N14" s="686"/>
      <c r="O14" s="686"/>
      <c r="P14" s="686"/>
      <c r="Q14" s="686"/>
      <c r="R14" s="686"/>
      <c r="S14" s="686"/>
      <c r="T14" s="686"/>
      <c r="U14" s="686"/>
      <c r="V14" s="686"/>
      <c r="W14" s="686"/>
      <c r="X14" s="686"/>
      <c r="Y14" s="686"/>
      <c r="Z14" s="686"/>
      <c r="AA14" s="686"/>
      <c r="AB14" s="686"/>
      <c r="AC14" s="686"/>
      <c r="AD14" s="686"/>
      <c r="AE14" s="687"/>
      <c r="AF14" s="685"/>
      <c r="AG14" s="685"/>
      <c r="AH14" s="685"/>
      <c r="AI14" s="685"/>
      <c r="AJ14" s="685"/>
      <c r="AK14" s="685"/>
      <c r="AL14" s="714"/>
      <c r="AM14" s="34"/>
      <c r="AN14" s="34"/>
      <c r="AO14" s="34"/>
      <c r="AP14" s="34"/>
      <c r="AQ14" s="34"/>
      <c r="AR14" s="34"/>
      <c r="AS14" s="34"/>
      <c r="AT14" s="34"/>
      <c r="AU14" s="34"/>
      <c r="AV14" s="34"/>
      <c r="AW14" s="34"/>
      <c r="AX14" s="34"/>
      <c r="AY14" s="34"/>
      <c r="AZ14" s="34"/>
      <c r="BA14" s="34"/>
      <c r="BB14" s="34"/>
      <c r="BC14" s="34"/>
      <c r="BD14" s="34"/>
      <c r="BE14" s="34"/>
      <c r="BF14" s="34"/>
    </row>
    <row r="15" spans="1:59" ht="0.75" customHeight="1">
      <c r="A15" s="303" t="s">
        <v>1032</v>
      </c>
      <c r="E15" s="10"/>
      <c r="F15" s="1445">
        <v>2023</v>
      </c>
      <c r="G15" s="1442"/>
      <c r="H15" s="1450" t="s">
        <v>382</v>
      </c>
      <c r="I15" s="1451"/>
      <c r="J15" s="1441"/>
      <c r="K15" s="1441"/>
      <c r="L15" s="1443"/>
      <c r="M15" s="1290"/>
      <c r="N15" s="1067"/>
      <c r="O15" s="1066"/>
      <c r="P15" s="1067"/>
      <c r="Q15" s="1067"/>
      <c r="R15" s="1067"/>
      <c r="S15" s="1067"/>
      <c r="T15" s="1067"/>
      <c r="U15" s="1067"/>
      <c r="V15" s="1067"/>
      <c r="W15" s="1067"/>
      <c r="X15" s="1067"/>
      <c r="Y15" s="1067"/>
      <c r="Z15" s="1067"/>
      <c r="AA15" s="1067"/>
      <c r="AB15" s="1067"/>
      <c r="AC15" s="1067"/>
      <c r="AD15" s="1067"/>
      <c r="AE15" s="1067"/>
      <c r="AF15" s="1449"/>
      <c r="AG15" s="1443"/>
      <c r="AH15" s="1443"/>
      <c r="AI15" s="1449"/>
      <c r="AJ15" s="1443"/>
      <c r="AK15" s="1443"/>
      <c r="AL15" s="714"/>
      <c r="AM15" s="34"/>
      <c r="AN15" s="34"/>
      <c r="AO15" s="34"/>
      <c r="AP15" s="34"/>
      <c r="AQ15" s="34"/>
      <c r="AR15" s="34"/>
      <c r="AS15" s="34"/>
      <c r="AT15" s="34"/>
      <c r="AU15" s="34"/>
      <c r="AV15" s="34"/>
      <c r="AW15" s="34"/>
      <c r="AX15" s="34"/>
      <c r="AY15" s="34"/>
      <c r="AZ15" s="34"/>
      <c r="BA15" s="34"/>
      <c r="BB15" s="34"/>
      <c r="BC15" s="34"/>
      <c r="BD15" s="34"/>
      <c r="BE15" s="34"/>
      <c r="BF15" s="34"/>
    </row>
    <row r="16" spans="1:59" ht="0.75" customHeight="1">
      <c r="A16" s="303" t="s">
        <v>1032</v>
      </c>
      <c r="E16" s="10"/>
      <c r="F16" s="1445"/>
      <c r="G16" s="1442"/>
      <c r="H16" s="1450"/>
      <c r="I16" s="1451"/>
      <c r="J16" s="1441"/>
      <c r="K16" s="1441"/>
      <c r="L16" s="1443"/>
      <c r="M16" s="1290"/>
      <c r="N16" s="1452"/>
      <c r="O16" s="1453"/>
      <c r="P16" s="1438"/>
      <c r="Q16" s="1441"/>
      <c r="R16" s="1441"/>
      <c r="S16" s="1441"/>
      <c r="T16" s="1441"/>
      <c r="U16" s="1441"/>
      <c r="V16" s="1441"/>
      <c r="W16" s="1441"/>
      <c r="X16" s="1441"/>
      <c r="Y16" s="1441"/>
      <c r="Z16" s="1068"/>
      <c r="AA16" s="1069"/>
      <c r="AB16" s="1069"/>
      <c r="AC16" s="1070"/>
      <c r="AD16" s="1070"/>
      <c r="AE16" s="1071"/>
      <c r="AF16" s="1449"/>
      <c r="AG16" s="1443"/>
      <c r="AH16" s="1443"/>
      <c r="AI16" s="1449"/>
      <c r="AJ16" s="1443"/>
      <c r="AK16" s="1443"/>
      <c r="AL16" s="714"/>
      <c r="AM16" s="34"/>
      <c r="AN16" s="34"/>
      <c r="AO16" s="34"/>
      <c r="AP16" s="34"/>
      <c r="AQ16" s="34"/>
      <c r="AR16" s="34"/>
      <c r="AS16" s="34"/>
      <c r="AT16" s="34"/>
      <c r="AU16" s="34"/>
      <c r="AV16" s="34"/>
      <c r="AW16" s="34"/>
      <c r="AX16" s="34"/>
      <c r="AY16" s="34"/>
      <c r="AZ16" s="34"/>
      <c r="BA16" s="34"/>
      <c r="BB16" s="34"/>
      <c r="BC16" s="34"/>
      <c r="BD16" s="34"/>
      <c r="BE16" s="34"/>
      <c r="BF16" s="34"/>
    </row>
    <row r="17" spans="1:58" ht="0.75" customHeight="1">
      <c r="A17" s="303" t="s">
        <v>1032</v>
      </c>
      <c r="E17" s="10"/>
      <c r="F17" s="1445"/>
      <c r="G17" s="1442"/>
      <c r="H17" s="1450"/>
      <c r="I17" s="1451"/>
      <c r="J17" s="1441"/>
      <c r="K17" s="1441"/>
      <c r="L17" s="1443"/>
      <c r="M17" s="1290"/>
      <c r="N17" s="1452"/>
      <c r="O17" s="1453"/>
      <c r="P17" s="1439"/>
      <c r="Q17" s="1441"/>
      <c r="R17" s="1441"/>
      <c r="S17" s="1441"/>
      <c r="T17" s="1441"/>
      <c r="U17" s="1441"/>
      <c r="V17" s="1441"/>
      <c r="W17" s="1441"/>
      <c r="X17" s="1441"/>
      <c r="Y17" s="1441"/>
      <c r="Z17" s="1072"/>
      <c r="AA17" s="1073"/>
      <c r="AB17" s="1074"/>
      <c r="AC17" s="1075"/>
      <c r="AD17" s="1074"/>
      <c r="AE17" s="1075"/>
      <c r="AF17" s="1449"/>
      <c r="AG17" s="1443"/>
      <c r="AH17" s="1443"/>
      <c r="AI17" s="1449"/>
      <c r="AJ17" s="1443"/>
      <c r="AK17" s="1443"/>
      <c r="AL17" s="714"/>
      <c r="AM17" s="34"/>
      <c r="AN17" s="34"/>
      <c r="AO17" s="34"/>
      <c r="AP17" s="34"/>
      <c r="AQ17" s="34"/>
      <c r="AR17" s="34"/>
      <c r="AS17" s="34"/>
      <c r="AT17" s="34"/>
      <c r="AU17" s="34"/>
      <c r="AV17" s="34"/>
      <c r="AW17" s="34"/>
      <c r="AX17" s="34"/>
      <c r="AY17" s="34"/>
      <c r="AZ17" s="34"/>
      <c r="BA17" s="34"/>
      <c r="BB17" s="34"/>
      <c r="BC17" s="34"/>
      <c r="BD17" s="34"/>
      <c r="BE17" s="34"/>
      <c r="BF17" s="34"/>
    </row>
    <row r="18" spans="1:58" ht="0.75" customHeight="1">
      <c r="A18" s="303" t="s">
        <v>1032</v>
      </c>
      <c r="E18" s="10"/>
      <c r="F18" s="1445"/>
      <c r="G18" s="1442"/>
      <c r="H18" s="1450"/>
      <c r="I18" s="1451"/>
      <c r="J18" s="1441"/>
      <c r="K18" s="1441"/>
      <c r="L18" s="1443"/>
      <c r="M18" s="1290"/>
      <c r="N18" s="1452"/>
      <c r="O18" s="1453"/>
      <c r="P18" s="1440"/>
      <c r="Q18" s="1441"/>
      <c r="R18" s="1441"/>
      <c r="S18" s="1441"/>
      <c r="T18" s="1441"/>
      <c r="U18" s="1441"/>
      <c r="V18" s="1441"/>
      <c r="W18" s="1441"/>
      <c r="X18" s="1441"/>
      <c r="Y18" s="1441"/>
      <c r="Z18" s="1068"/>
      <c r="AA18" s="1069"/>
      <c r="AB18" s="1076"/>
      <c r="AC18" s="1070"/>
      <c r="AD18" s="1070"/>
      <c r="AE18" s="1077"/>
      <c r="AF18" s="1449"/>
      <c r="AG18" s="1443"/>
      <c r="AH18" s="1443"/>
      <c r="AI18" s="1449"/>
      <c r="AJ18" s="1443"/>
      <c r="AK18" s="1443"/>
      <c r="AL18" s="714"/>
      <c r="AM18" s="34"/>
      <c r="AN18" s="34"/>
      <c r="AO18" s="34"/>
      <c r="AP18" s="34"/>
      <c r="AQ18" s="34"/>
      <c r="AR18" s="34"/>
      <c r="AS18" s="34"/>
      <c r="AT18" s="34"/>
      <c r="AU18" s="34"/>
      <c r="AV18" s="34"/>
      <c r="AW18" s="34"/>
      <c r="AX18" s="34"/>
      <c r="AY18" s="34"/>
      <c r="AZ18" s="34"/>
      <c r="BA18" s="34"/>
      <c r="BB18" s="34"/>
      <c r="BC18" s="34"/>
      <c r="BD18" s="34"/>
      <c r="BE18" s="34"/>
      <c r="BF18" s="34"/>
    </row>
    <row r="19" spans="1:58" ht="0.75" customHeight="1">
      <c r="A19" s="303" t="s">
        <v>1032</v>
      </c>
      <c r="E19" s="10"/>
      <c r="F19" s="1445"/>
      <c r="G19" s="1442"/>
      <c r="H19" s="1450"/>
      <c r="I19" s="1451"/>
      <c r="J19" s="1441"/>
      <c r="K19" s="1441"/>
      <c r="L19" s="1443"/>
      <c r="M19" s="1290"/>
      <c r="N19" s="1069"/>
      <c r="O19" s="1069"/>
      <c r="P19" s="1076"/>
      <c r="Q19" s="1069"/>
      <c r="R19" s="1069"/>
      <c r="S19" s="1069"/>
      <c r="T19" s="1069"/>
      <c r="U19" s="1069"/>
      <c r="V19" s="1069"/>
      <c r="W19" s="1069"/>
      <c r="X19" s="1069"/>
      <c r="Y19" s="1069"/>
      <c r="Z19" s="1069"/>
      <c r="AA19" s="1069"/>
      <c r="AB19" s="1069"/>
      <c r="AC19" s="1069"/>
      <c r="AD19" s="1069"/>
      <c r="AE19" s="1078"/>
      <c r="AF19" s="1449"/>
      <c r="AG19" s="1443"/>
      <c r="AH19" s="1443"/>
      <c r="AI19" s="1449"/>
      <c r="AJ19" s="1443"/>
      <c r="AK19" s="1443"/>
      <c r="AL19" s="714"/>
      <c r="AM19" s="34"/>
      <c r="AN19" s="34"/>
      <c r="AO19" s="34"/>
      <c r="AP19" s="34"/>
      <c r="AQ19" s="34"/>
      <c r="AR19" s="34"/>
      <c r="AS19" s="34"/>
      <c r="AT19" s="34"/>
      <c r="AU19" s="34"/>
      <c r="AV19" s="34"/>
      <c r="AW19" s="34"/>
      <c r="AX19" s="34"/>
      <c r="AY19" s="34"/>
      <c r="AZ19" s="34"/>
      <c r="BA19" s="34"/>
      <c r="BB19" s="34"/>
      <c r="BC19" s="34"/>
      <c r="BD19" s="34"/>
      <c r="BE19" s="34"/>
      <c r="BF19" s="34"/>
    </row>
    <row r="20" spans="1:58" ht="11.25" customHeight="1">
      <c r="A20" s="303" t="s">
        <v>1032</v>
      </c>
      <c r="B20" s="303" t="s">
        <v>1064</v>
      </c>
      <c r="E20" s="10"/>
      <c r="F20" s="1446"/>
      <c r="G20" s="1182" t="s">
        <v>122</v>
      </c>
      <c r="H20" s="1442" t="s">
        <v>109</v>
      </c>
      <c r="I20" s="1454" t="s">
        <v>1065</v>
      </c>
      <c r="J20" s="1455" t="s">
        <v>1066</v>
      </c>
      <c r="K20" s="1456" t="s">
        <v>1067</v>
      </c>
      <c r="L20" s="1169" t="s">
        <v>19</v>
      </c>
      <c r="M20" s="1170"/>
      <c r="N20" s="1053"/>
      <c r="O20" s="677" t="s">
        <v>382</v>
      </c>
      <c r="P20" s="678"/>
      <c r="Q20" s="678"/>
      <c r="R20" s="678"/>
      <c r="S20" s="678"/>
      <c r="T20" s="678"/>
      <c r="U20" s="678"/>
      <c r="V20" s="678"/>
      <c r="W20" s="678"/>
      <c r="X20" s="678"/>
      <c r="Y20" s="678"/>
      <c r="Z20" s="678"/>
      <c r="AA20" s="678"/>
      <c r="AB20" s="678"/>
      <c r="AC20" s="678"/>
      <c r="AD20" s="678"/>
      <c r="AE20" s="678"/>
      <c r="AF20" s="1457">
        <v>2023</v>
      </c>
      <c r="AG20" s="1458" t="s">
        <v>1068</v>
      </c>
      <c r="AH20" s="1458" t="s">
        <v>1069</v>
      </c>
      <c r="AI20" s="1457">
        <v>2023</v>
      </c>
      <c r="AJ20" s="1458" t="s">
        <v>1070</v>
      </c>
      <c r="AK20" s="1458" t="s">
        <v>1069</v>
      </c>
      <c r="AL20" s="714"/>
      <c r="AM20" s="34"/>
      <c r="AN20" s="34"/>
      <c r="AO20" s="34"/>
      <c r="AP20" s="34"/>
      <c r="AQ20" s="34"/>
      <c r="AR20" s="34"/>
      <c r="AS20" s="34"/>
      <c r="AT20" s="34"/>
      <c r="AU20" s="34"/>
      <c r="AV20" s="34"/>
      <c r="AW20" s="34"/>
      <c r="AX20" s="34"/>
      <c r="AY20" s="34"/>
      <c r="AZ20" s="34"/>
      <c r="BA20" s="34"/>
      <c r="BB20" s="34"/>
      <c r="BC20" s="34"/>
      <c r="BD20" s="34"/>
      <c r="BE20" s="34"/>
      <c r="BF20" s="34"/>
    </row>
    <row r="21" spans="1:58" ht="11.25" customHeight="1">
      <c r="A21" s="303" t="s">
        <v>1032</v>
      </c>
      <c r="E21" s="10"/>
      <c r="F21" s="1446"/>
      <c r="G21" s="1447"/>
      <c r="H21" s="1442" t="s">
        <v>382</v>
      </c>
      <c r="I21" s="1454"/>
      <c r="J21" s="1455"/>
      <c r="K21" s="1456"/>
      <c r="L21" s="1169"/>
      <c r="M21" s="1170"/>
      <c r="N21" s="1459"/>
      <c r="O21" s="1460">
        <v>1</v>
      </c>
      <c r="P21" s="1461" t="s">
        <v>62</v>
      </c>
      <c r="Q21" s="1455" t="s">
        <v>1071</v>
      </c>
      <c r="R21" s="1464" t="s">
        <v>1072</v>
      </c>
      <c r="S21" s="1464" t="s">
        <v>100</v>
      </c>
      <c r="T21" s="1464" t="s">
        <v>100</v>
      </c>
      <c r="U21" s="1464" t="s">
        <v>101</v>
      </c>
      <c r="V21" s="1464" t="s">
        <v>1073</v>
      </c>
      <c r="W21" s="1464" t="s">
        <v>1074</v>
      </c>
      <c r="X21" s="1464" t="s">
        <v>1075</v>
      </c>
      <c r="Y21" s="1464" t="s">
        <v>1076</v>
      </c>
      <c r="Z21" s="675"/>
      <c r="AA21" s="676"/>
      <c r="AB21" s="676"/>
      <c r="AC21" s="680"/>
      <c r="AD21" s="680"/>
      <c r="AE21" s="681"/>
      <c r="AF21" s="1457"/>
      <c r="AG21" s="1458"/>
      <c r="AH21" s="1458"/>
      <c r="AI21" s="1457"/>
      <c r="AJ21" s="1458"/>
      <c r="AK21" s="1458"/>
      <c r="AL21" s="714"/>
      <c r="AM21" s="34"/>
      <c r="AN21" s="34"/>
      <c r="AO21" s="34"/>
      <c r="AP21" s="34"/>
      <c r="AQ21" s="34"/>
      <c r="AR21" s="34"/>
      <c r="AS21" s="34"/>
      <c r="AT21" s="34"/>
      <c r="AU21" s="34"/>
      <c r="AV21" s="34"/>
      <c r="AW21" s="34"/>
      <c r="AX21" s="34"/>
      <c r="AY21" s="34"/>
      <c r="AZ21" s="34"/>
      <c r="BA21" s="34"/>
      <c r="BB21" s="34"/>
      <c r="BC21" s="34"/>
      <c r="BD21" s="34"/>
      <c r="BE21" s="34"/>
      <c r="BF21" s="34"/>
    </row>
    <row r="22" spans="1:58" ht="31.5" customHeight="1">
      <c r="A22" s="303" t="s">
        <v>1032</v>
      </c>
      <c r="E22" s="10"/>
      <c r="F22" s="1446"/>
      <c r="G22" s="1447"/>
      <c r="H22" s="1442" t="s">
        <v>382</v>
      </c>
      <c r="I22" s="1454"/>
      <c r="J22" s="1455"/>
      <c r="K22" s="1456"/>
      <c r="L22" s="1169"/>
      <c r="M22" s="1170"/>
      <c r="N22" s="1459"/>
      <c r="O22" s="1460"/>
      <c r="P22" s="1462"/>
      <c r="Q22" s="1455"/>
      <c r="R22" s="1415"/>
      <c r="S22" s="1464"/>
      <c r="T22" s="1415"/>
      <c r="U22" s="1415"/>
      <c r="V22" s="1415"/>
      <c r="W22" s="1415"/>
      <c r="X22" s="1415"/>
      <c r="Y22" s="1415"/>
      <c r="Z22" s="987"/>
      <c r="AA22" s="978">
        <v>1</v>
      </c>
      <c r="AB22" s="679" t="s">
        <v>1077</v>
      </c>
      <c r="AC22" s="380">
        <v>444.79</v>
      </c>
      <c r="AD22" s="679" t="str">
        <f>AB22</f>
        <v xml:space="preserve">  Средства, полученные за счет платы за подключение (технологическое присоединение)</v>
      </c>
      <c r="AE22" s="380">
        <v>394.79</v>
      </c>
      <c r="AF22" s="1457"/>
      <c r="AG22" s="1458"/>
      <c r="AH22" s="1458"/>
      <c r="AI22" s="1457"/>
      <c r="AJ22" s="1458"/>
      <c r="AK22" s="1458"/>
      <c r="AL22" s="714"/>
      <c r="AM22" s="34"/>
      <c r="AN22" s="34"/>
      <c r="AO22" s="34"/>
      <c r="AP22" s="34"/>
      <c r="AQ22" s="34"/>
      <c r="AR22" s="34"/>
      <c r="AS22" s="34"/>
      <c r="AT22" s="34"/>
      <c r="AU22" s="34"/>
      <c r="AV22" s="34"/>
      <c r="AW22" s="34"/>
      <c r="AX22" s="34"/>
      <c r="AY22" s="34"/>
      <c r="AZ22" s="34"/>
      <c r="BA22" s="34"/>
      <c r="BB22" s="34"/>
      <c r="BC22" s="34"/>
      <c r="BD22" s="34"/>
      <c r="BE22" s="34"/>
      <c r="BF22" s="34"/>
    </row>
    <row r="23" spans="1:58" ht="11.25" customHeight="1">
      <c r="A23" s="303" t="s">
        <v>1032</v>
      </c>
      <c r="E23" s="10"/>
      <c r="F23" s="1446"/>
      <c r="G23" s="1447"/>
      <c r="H23" s="1442" t="s">
        <v>382</v>
      </c>
      <c r="I23" s="1454"/>
      <c r="J23" s="1455"/>
      <c r="K23" s="1456"/>
      <c r="L23" s="1169"/>
      <c r="M23" s="1170"/>
      <c r="N23" s="1459"/>
      <c r="O23" s="1460"/>
      <c r="P23" s="1463"/>
      <c r="Q23" s="1455"/>
      <c r="R23" s="1415"/>
      <c r="S23" s="1464"/>
      <c r="T23" s="1415"/>
      <c r="U23" s="1415"/>
      <c r="V23" s="1415"/>
      <c r="W23" s="1415"/>
      <c r="X23" s="1415"/>
      <c r="Y23" s="1415"/>
      <c r="Z23" s="675"/>
      <c r="AA23" s="676"/>
      <c r="AB23" s="110" t="s">
        <v>1078</v>
      </c>
      <c r="AC23" s="680"/>
      <c r="AD23" s="680"/>
      <c r="AE23" s="682"/>
      <c r="AF23" s="1457"/>
      <c r="AG23" s="1458"/>
      <c r="AH23" s="1458"/>
      <c r="AI23" s="1457"/>
      <c r="AJ23" s="1458"/>
      <c r="AK23" s="1458"/>
      <c r="AL23" s="714"/>
      <c r="AM23" s="34"/>
      <c r="AN23" s="34"/>
      <c r="AO23" s="34"/>
      <c r="AP23" s="34"/>
      <c r="AQ23" s="34"/>
      <c r="AR23" s="34"/>
      <c r="AS23" s="34"/>
      <c r="AT23" s="34"/>
      <c r="AU23" s="34"/>
      <c r="AV23" s="34"/>
      <c r="AW23" s="34"/>
      <c r="AX23" s="34"/>
      <c r="AY23" s="34"/>
      <c r="AZ23" s="34"/>
      <c r="BA23" s="34"/>
      <c r="BB23" s="34"/>
      <c r="BC23" s="34"/>
      <c r="BD23" s="34"/>
      <c r="BE23" s="34"/>
      <c r="BF23" s="34"/>
    </row>
    <row r="24" spans="1:58" ht="11.25" customHeight="1">
      <c r="A24" s="303" t="s">
        <v>1032</v>
      </c>
      <c r="E24" s="10"/>
      <c r="F24" s="1446"/>
      <c r="G24" s="1447"/>
      <c r="H24" s="1442" t="s">
        <v>382</v>
      </c>
      <c r="I24" s="1454"/>
      <c r="J24" s="1455"/>
      <c r="K24" s="1456"/>
      <c r="L24" s="1169"/>
      <c r="M24" s="1170"/>
      <c r="N24" s="675"/>
      <c r="O24" s="676"/>
      <c r="P24" s="110" t="s">
        <v>1079</v>
      </c>
      <c r="Q24" s="676"/>
      <c r="R24" s="676"/>
      <c r="S24" s="676"/>
      <c r="T24" s="676"/>
      <c r="U24" s="676"/>
      <c r="V24" s="676"/>
      <c r="W24" s="676"/>
      <c r="X24" s="676"/>
      <c r="Y24" s="676"/>
      <c r="Z24" s="676"/>
      <c r="AA24" s="676"/>
      <c r="AB24" s="676"/>
      <c r="AC24" s="676"/>
      <c r="AD24" s="676"/>
      <c r="AE24" s="683"/>
      <c r="AF24" s="1457"/>
      <c r="AG24" s="1458"/>
      <c r="AH24" s="1458"/>
      <c r="AI24" s="1457"/>
      <c r="AJ24" s="1458"/>
      <c r="AK24" s="1458"/>
      <c r="AL24" s="714"/>
      <c r="AM24" s="34"/>
      <c r="AN24" s="34"/>
      <c r="AO24" s="34"/>
      <c r="AP24" s="34"/>
      <c r="AQ24" s="34"/>
      <c r="AR24" s="34"/>
      <c r="AS24" s="34"/>
      <c r="AT24" s="34"/>
      <c r="AU24" s="34"/>
      <c r="AV24" s="34"/>
      <c r="AW24" s="34"/>
      <c r="AX24" s="34"/>
      <c r="AY24" s="34"/>
      <c r="AZ24" s="34"/>
      <c r="BA24" s="34"/>
      <c r="BB24" s="34"/>
      <c r="BC24" s="34"/>
      <c r="BD24" s="34"/>
      <c r="BE24" s="34"/>
      <c r="BF24" s="34"/>
    </row>
    <row r="25" spans="1:58" ht="11.25" customHeight="1">
      <c r="A25" s="303" t="s">
        <v>1032</v>
      </c>
      <c r="B25" s="303" t="s">
        <v>1064</v>
      </c>
      <c r="E25" s="10"/>
      <c r="F25" s="1446"/>
      <c r="G25" s="1182" t="s">
        <v>122</v>
      </c>
      <c r="H25" s="1442" t="s">
        <v>110</v>
      </c>
      <c r="I25" s="1454" t="s">
        <v>1065</v>
      </c>
      <c r="J25" s="1455" t="s">
        <v>1066</v>
      </c>
      <c r="K25" s="1456" t="s">
        <v>1080</v>
      </c>
      <c r="L25" s="1169" t="s">
        <v>19</v>
      </c>
      <c r="M25" s="1170"/>
      <c r="N25" s="1053"/>
      <c r="O25" s="677" t="s">
        <v>382</v>
      </c>
      <c r="P25" s="678"/>
      <c r="Q25" s="678"/>
      <c r="R25" s="678"/>
      <c r="S25" s="678"/>
      <c r="T25" s="678"/>
      <c r="U25" s="678"/>
      <c r="V25" s="678"/>
      <c r="W25" s="678"/>
      <c r="X25" s="678"/>
      <c r="Y25" s="678"/>
      <c r="Z25" s="678"/>
      <c r="AA25" s="678"/>
      <c r="AB25" s="678"/>
      <c r="AC25" s="678"/>
      <c r="AD25" s="678"/>
      <c r="AE25" s="678"/>
      <c r="AF25" s="1457">
        <v>2023</v>
      </c>
      <c r="AG25" s="1458" t="s">
        <v>1081</v>
      </c>
      <c r="AH25" s="1458" t="s">
        <v>1069</v>
      </c>
      <c r="AI25" s="1457">
        <v>2023</v>
      </c>
      <c r="AJ25" s="1458" t="s">
        <v>1070</v>
      </c>
      <c r="AK25" s="1458" t="s">
        <v>1069</v>
      </c>
      <c r="AL25" s="714"/>
      <c r="AM25" s="34"/>
      <c r="AN25" s="34"/>
      <c r="AO25" s="34"/>
      <c r="AP25" s="34"/>
      <c r="AQ25" s="34"/>
      <c r="AR25" s="34"/>
      <c r="AS25" s="34"/>
      <c r="AT25" s="34"/>
      <c r="AU25" s="34"/>
      <c r="AV25" s="34"/>
      <c r="AW25" s="34"/>
      <c r="AX25" s="34"/>
      <c r="AY25" s="34"/>
      <c r="AZ25" s="34"/>
      <c r="BA25" s="34"/>
      <c r="BB25" s="34"/>
      <c r="BC25" s="34"/>
      <c r="BD25" s="34"/>
      <c r="BE25" s="34"/>
      <c r="BF25" s="34"/>
    </row>
    <row r="26" spans="1:58" ht="11.25" customHeight="1">
      <c r="A26" s="303" t="s">
        <v>1032</v>
      </c>
      <c r="E26" s="10"/>
      <c r="F26" s="1446"/>
      <c r="G26" s="1447"/>
      <c r="H26" s="1442" t="s">
        <v>109</v>
      </c>
      <c r="I26" s="1454"/>
      <c r="J26" s="1455"/>
      <c r="K26" s="1456"/>
      <c r="L26" s="1169"/>
      <c r="M26" s="1170"/>
      <c r="N26" s="1459"/>
      <c r="O26" s="1460">
        <v>1</v>
      </c>
      <c r="P26" s="1461" t="s">
        <v>62</v>
      </c>
      <c r="Q26" s="1455" t="s">
        <v>1071</v>
      </c>
      <c r="R26" s="1464" t="s">
        <v>1072</v>
      </c>
      <c r="S26" s="1464" t="s">
        <v>100</v>
      </c>
      <c r="T26" s="1464" t="s">
        <v>100</v>
      </c>
      <c r="U26" s="1464" t="s">
        <v>101</v>
      </c>
      <c r="V26" s="1464" t="s">
        <v>1073</v>
      </c>
      <c r="W26" s="1464" t="s">
        <v>1074</v>
      </c>
      <c r="X26" s="1464" t="s">
        <v>1075</v>
      </c>
      <c r="Y26" s="1464" t="s">
        <v>1076</v>
      </c>
      <c r="Z26" s="675"/>
      <c r="AA26" s="676"/>
      <c r="AB26" s="676"/>
      <c r="AC26" s="680"/>
      <c r="AD26" s="680"/>
      <c r="AE26" s="681"/>
      <c r="AF26" s="1457"/>
      <c r="AG26" s="1458"/>
      <c r="AH26" s="1458"/>
      <c r="AI26" s="1457"/>
      <c r="AJ26" s="1458"/>
      <c r="AK26" s="1458"/>
      <c r="AL26" s="714"/>
      <c r="AM26" s="34"/>
      <c r="AN26" s="34"/>
      <c r="AO26" s="34"/>
      <c r="AP26" s="34"/>
      <c r="AQ26" s="34"/>
      <c r="AR26" s="34"/>
      <c r="AS26" s="34"/>
      <c r="AT26" s="34"/>
      <c r="AU26" s="34"/>
      <c r="AV26" s="34"/>
      <c r="AW26" s="34"/>
      <c r="AX26" s="34"/>
      <c r="AY26" s="34"/>
      <c r="AZ26" s="34"/>
      <c r="BA26" s="34"/>
      <c r="BB26" s="34"/>
      <c r="BC26" s="34"/>
      <c r="BD26" s="34"/>
      <c r="BE26" s="34"/>
      <c r="BF26" s="34"/>
    </row>
    <row r="27" spans="1:58" ht="36" customHeight="1">
      <c r="A27" s="303" t="s">
        <v>1032</v>
      </c>
      <c r="E27" s="10"/>
      <c r="F27" s="1446"/>
      <c r="G27" s="1447"/>
      <c r="H27" s="1442" t="s">
        <v>109</v>
      </c>
      <c r="I27" s="1454"/>
      <c r="J27" s="1455"/>
      <c r="K27" s="1456"/>
      <c r="L27" s="1169"/>
      <c r="M27" s="1170"/>
      <c r="N27" s="1459"/>
      <c r="O27" s="1460"/>
      <c r="P27" s="1462"/>
      <c r="Q27" s="1455"/>
      <c r="R27" s="1415"/>
      <c r="S27" s="1464"/>
      <c r="T27" s="1415"/>
      <c r="U27" s="1415"/>
      <c r="V27" s="1415"/>
      <c r="W27" s="1415"/>
      <c r="X27" s="1415"/>
      <c r="Y27" s="1415"/>
      <c r="Z27" s="987"/>
      <c r="AA27" s="978">
        <v>1</v>
      </c>
      <c r="AB27" s="679" t="s">
        <v>1077</v>
      </c>
      <c r="AC27" s="380">
        <v>3609.62</v>
      </c>
      <c r="AD27" s="679" t="str">
        <f>AB27</f>
        <v xml:space="preserve">  Средства, полученные за счет платы за подключение (технологическое присоединение)</v>
      </c>
      <c r="AE27" s="380">
        <v>3559.62</v>
      </c>
      <c r="AF27" s="1457"/>
      <c r="AG27" s="1458"/>
      <c r="AH27" s="1458"/>
      <c r="AI27" s="1457"/>
      <c r="AJ27" s="1458"/>
      <c r="AK27" s="1458"/>
      <c r="AL27" s="714"/>
      <c r="AM27" s="34"/>
      <c r="AN27" s="34"/>
      <c r="AO27" s="34"/>
      <c r="AP27" s="34"/>
      <c r="AQ27" s="34"/>
      <c r="AR27" s="34"/>
      <c r="AS27" s="34"/>
      <c r="AT27" s="34"/>
      <c r="AU27" s="34"/>
      <c r="AV27" s="34"/>
      <c r="AW27" s="34"/>
      <c r="AX27" s="34"/>
      <c r="AY27" s="34"/>
      <c r="AZ27" s="34"/>
      <c r="BA27" s="34"/>
      <c r="BB27" s="34"/>
      <c r="BC27" s="34"/>
      <c r="BD27" s="34"/>
      <c r="BE27" s="34"/>
      <c r="BF27" s="34"/>
    </row>
    <row r="28" spans="1:58" ht="11.25" customHeight="1">
      <c r="A28" s="303" t="s">
        <v>1032</v>
      </c>
      <c r="E28" s="10"/>
      <c r="F28" s="1446"/>
      <c r="G28" s="1447"/>
      <c r="H28" s="1442" t="s">
        <v>109</v>
      </c>
      <c r="I28" s="1454"/>
      <c r="J28" s="1455"/>
      <c r="K28" s="1456"/>
      <c r="L28" s="1169"/>
      <c r="M28" s="1170"/>
      <c r="N28" s="1459"/>
      <c r="O28" s="1460"/>
      <c r="P28" s="1463"/>
      <c r="Q28" s="1455"/>
      <c r="R28" s="1415"/>
      <c r="S28" s="1464"/>
      <c r="T28" s="1415"/>
      <c r="U28" s="1415"/>
      <c r="V28" s="1415"/>
      <c r="W28" s="1415"/>
      <c r="X28" s="1415"/>
      <c r="Y28" s="1415"/>
      <c r="Z28" s="675"/>
      <c r="AA28" s="676"/>
      <c r="AB28" s="110" t="s">
        <v>1078</v>
      </c>
      <c r="AC28" s="680"/>
      <c r="AD28" s="680"/>
      <c r="AE28" s="682"/>
      <c r="AF28" s="1457"/>
      <c r="AG28" s="1458"/>
      <c r="AH28" s="1458"/>
      <c r="AI28" s="1457"/>
      <c r="AJ28" s="1458"/>
      <c r="AK28" s="1458"/>
      <c r="AL28" s="714"/>
      <c r="AM28" s="34"/>
      <c r="AN28" s="34"/>
      <c r="AO28" s="34"/>
      <c r="AP28" s="34"/>
      <c r="AQ28" s="34"/>
      <c r="AR28" s="34"/>
      <c r="AS28" s="34"/>
      <c r="AT28" s="34"/>
      <c r="AU28" s="34"/>
      <c r="AV28" s="34"/>
      <c r="AW28" s="34"/>
      <c r="AX28" s="34"/>
      <c r="AY28" s="34"/>
      <c r="AZ28" s="34"/>
      <c r="BA28" s="34"/>
      <c r="BB28" s="34"/>
      <c r="BC28" s="34"/>
      <c r="BD28" s="34"/>
      <c r="BE28" s="34"/>
      <c r="BF28" s="34"/>
    </row>
    <row r="29" spans="1:58" ht="11.25" customHeight="1">
      <c r="A29" s="303" t="s">
        <v>1032</v>
      </c>
      <c r="E29" s="10"/>
      <c r="F29" s="1446"/>
      <c r="G29" s="1447"/>
      <c r="H29" s="1442" t="s">
        <v>109</v>
      </c>
      <c r="I29" s="1454"/>
      <c r="J29" s="1455"/>
      <c r="K29" s="1456"/>
      <c r="L29" s="1169"/>
      <c r="M29" s="1170"/>
      <c r="N29" s="675"/>
      <c r="O29" s="676"/>
      <c r="P29" s="110" t="s">
        <v>1079</v>
      </c>
      <c r="Q29" s="676"/>
      <c r="R29" s="676"/>
      <c r="S29" s="676"/>
      <c r="T29" s="676"/>
      <c r="U29" s="676"/>
      <c r="V29" s="676"/>
      <c r="W29" s="676"/>
      <c r="X29" s="676"/>
      <c r="Y29" s="676"/>
      <c r="Z29" s="676"/>
      <c r="AA29" s="676"/>
      <c r="AB29" s="676"/>
      <c r="AC29" s="676"/>
      <c r="AD29" s="676"/>
      <c r="AE29" s="683"/>
      <c r="AF29" s="1457"/>
      <c r="AG29" s="1458"/>
      <c r="AH29" s="1458"/>
      <c r="AI29" s="1457"/>
      <c r="AJ29" s="1458"/>
      <c r="AK29" s="1458"/>
      <c r="AL29" s="714"/>
      <c r="AM29" s="34"/>
      <c r="AN29" s="34"/>
      <c r="AO29" s="34"/>
      <c r="AP29" s="34"/>
      <c r="AQ29" s="34"/>
      <c r="AR29" s="34"/>
      <c r="AS29" s="34"/>
      <c r="AT29" s="34"/>
      <c r="AU29" s="34"/>
      <c r="AV29" s="34"/>
      <c r="AW29" s="34"/>
      <c r="AX29" s="34"/>
      <c r="AY29" s="34"/>
      <c r="AZ29" s="34"/>
      <c r="BA29" s="34"/>
      <c r="BB29" s="34"/>
      <c r="BC29" s="34"/>
      <c r="BD29" s="34"/>
      <c r="BE29" s="34"/>
      <c r="BF29" s="34"/>
    </row>
    <row r="30" spans="1:58" ht="11.25" customHeight="1">
      <c r="A30" s="303" t="s">
        <v>1032</v>
      </c>
      <c r="B30" s="303" t="s">
        <v>22</v>
      </c>
      <c r="E30" s="10"/>
      <c r="F30" s="1446"/>
      <c r="G30" s="1182" t="s">
        <v>122</v>
      </c>
      <c r="H30" s="1442" t="s">
        <v>90</v>
      </c>
      <c r="I30" s="1454" t="s">
        <v>1082</v>
      </c>
      <c r="J30" s="1465" t="s">
        <v>22</v>
      </c>
      <c r="K30" s="1456" t="s">
        <v>1083</v>
      </c>
      <c r="L30" s="1169" t="s">
        <v>19</v>
      </c>
      <c r="M30" s="1170"/>
      <c r="N30" s="1053"/>
      <c r="O30" s="677" t="s">
        <v>382</v>
      </c>
      <c r="P30" s="678"/>
      <c r="Q30" s="678"/>
      <c r="R30" s="678"/>
      <c r="S30" s="678"/>
      <c r="T30" s="678"/>
      <c r="U30" s="678"/>
      <c r="V30" s="678"/>
      <c r="W30" s="678"/>
      <c r="X30" s="678"/>
      <c r="Y30" s="678"/>
      <c r="Z30" s="678"/>
      <c r="AA30" s="678"/>
      <c r="AB30" s="678"/>
      <c r="AC30" s="678"/>
      <c r="AD30" s="678"/>
      <c r="AE30" s="678"/>
      <c r="AF30" s="1457">
        <v>2023</v>
      </c>
      <c r="AG30" s="1458" t="s">
        <v>1081</v>
      </c>
      <c r="AH30" s="1458" t="s">
        <v>1069</v>
      </c>
      <c r="AI30" s="1466"/>
      <c r="AJ30" s="1458" t="s">
        <v>1084</v>
      </c>
      <c r="AK30" s="1458" t="s">
        <v>1084</v>
      </c>
      <c r="AL30" s="714"/>
      <c r="AM30" s="34"/>
      <c r="AN30" s="34"/>
      <c r="AO30" s="34"/>
      <c r="AP30" s="34"/>
      <c r="AQ30" s="34"/>
      <c r="AR30" s="34"/>
      <c r="AS30" s="34"/>
      <c r="AT30" s="34"/>
      <c r="AU30" s="34"/>
      <c r="AV30" s="34"/>
      <c r="AW30" s="34"/>
      <c r="AX30" s="34"/>
      <c r="AY30" s="34"/>
      <c r="AZ30" s="34"/>
      <c r="BA30" s="34"/>
      <c r="BB30" s="34"/>
      <c r="BC30" s="34"/>
      <c r="BD30" s="34"/>
      <c r="BE30" s="34"/>
      <c r="BF30" s="34"/>
    </row>
    <row r="31" spans="1:58" ht="11.25" customHeight="1">
      <c r="A31" s="303" t="s">
        <v>1032</v>
      </c>
      <c r="E31" s="10"/>
      <c r="F31" s="1446"/>
      <c r="G31" s="1447"/>
      <c r="H31" s="1442" t="s">
        <v>110</v>
      </c>
      <c r="I31" s="1454"/>
      <c r="J31" s="1465"/>
      <c r="K31" s="1456"/>
      <c r="L31" s="1169"/>
      <c r="M31" s="1170"/>
      <c r="N31" s="1459"/>
      <c r="O31" s="1460">
        <v>1</v>
      </c>
      <c r="P31" s="1461" t="s">
        <v>62</v>
      </c>
      <c r="Q31" s="1455" t="s">
        <v>1085</v>
      </c>
      <c r="R31" s="1464" t="s">
        <v>1072</v>
      </c>
      <c r="S31" s="1464" t="s">
        <v>100</v>
      </c>
      <c r="T31" s="1464" t="s">
        <v>100</v>
      </c>
      <c r="U31" s="1464" t="s">
        <v>101</v>
      </c>
      <c r="V31" s="1464" t="s">
        <v>1073</v>
      </c>
      <c r="W31" s="1464" t="s">
        <v>1074</v>
      </c>
      <c r="X31" s="1464" t="s">
        <v>1086</v>
      </c>
      <c r="Y31" s="1464" t="s">
        <v>1087</v>
      </c>
      <c r="Z31" s="675"/>
      <c r="AA31" s="676"/>
      <c r="AB31" s="676"/>
      <c r="AC31" s="680"/>
      <c r="AD31" s="680"/>
      <c r="AE31" s="681"/>
      <c r="AF31" s="1457"/>
      <c r="AG31" s="1458"/>
      <c r="AH31" s="1458"/>
      <c r="AI31" s="1466"/>
      <c r="AJ31" s="1458"/>
      <c r="AK31" s="1458"/>
      <c r="AL31" s="714"/>
      <c r="AM31" s="34"/>
      <c r="AN31" s="34"/>
      <c r="AO31" s="34"/>
      <c r="AP31" s="34"/>
      <c r="AQ31" s="34"/>
      <c r="AR31" s="34"/>
      <c r="AS31" s="34"/>
      <c r="AT31" s="34"/>
      <c r="AU31" s="34"/>
      <c r="AV31" s="34"/>
      <c r="AW31" s="34"/>
      <c r="AX31" s="34"/>
      <c r="AY31" s="34"/>
      <c r="AZ31" s="34"/>
      <c r="BA31" s="34"/>
      <c r="BB31" s="34"/>
      <c r="BC31" s="34"/>
      <c r="BD31" s="34"/>
      <c r="BE31" s="34"/>
      <c r="BF31" s="34"/>
    </row>
    <row r="32" spans="1:58" ht="32.25" customHeight="1">
      <c r="A32" s="303" t="s">
        <v>1032</v>
      </c>
      <c r="E32" s="10"/>
      <c r="F32" s="1446"/>
      <c r="G32" s="1447"/>
      <c r="H32" s="1442" t="s">
        <v>110</v>
      </c>
      <c r="I32" s="1454"/>
      <c r="J32" s="1465"/>
      <c r="K32" s="1456"/>
      <c r="L32" s="1169"/>
      <c r="M32" s="1170"/>
      <c r="N32" s="1459"/>
      <c r="O32" s="1460"/>
      <c r="P32" s="1462"/>
      <c r="Q32" s="1455"/>
      <c r="R32" s="1415"/>
      <c r="S32" s="1464"/>
      <c r="T32" s="1415"/>
      <c r="U32" s="1415"/>
      <c r="V32" s="1415"/>
      <c r="W32" s="1415"/>
      <c r="X32" s="1415"/>
      <c r="Y32" s="1415"/>
      <c r="Z32" s="987"/>
      <c r="AA32" s="978">
        <v>1</v>
      </c>
      <c r="AB32" s="679" t="s">
        <v>1088</v>
      </c>
      <c r="AC32" s="380">
        <v>4187.83</v>
      </c>
      <c r="AD32" s="679" t="str">
        <f>AB32</f>
        <v xml:space="preserve">     Амортизационные отчисления за исключением переоценки основных средств и нематериальных активов</v>
      </c>
      <c r="AE32" s="380">
        <v>0</v>
      </c>
      <c r="AF32" s="1457"/>
      <c r="AG32" s="1458"/>
      <c r="AH32" s="1458"/>
      <c r="AI32" s="1466"/>
      <c r="AJ32" s="1458"/>
      <c r="AK32" s="1458"/>
      <c r="AL32" s="714"/>
      <c r="AM32" s="34"/>
      <c r="AN32" s="34"/>
      <c r="AO32" s="34"/>
      <c r="AP32" s="34"/>
      <c r="AQ32" s="34"/>
      <c r="AR32" s="34"/>
      <c r="AS32" s="34"/>
      <c r="AT32" s="34"/>
      <c r="AU32" s="34"/>
      <c r="AV32" s="34"/>
      <c r="AW32" s="34"/>
      <c r="AX32" s="34"/>
      <c r="AY32" s="34"/>
      <c r="AZ32" s="34"/>
      <c r="BA32" s="34"/>
      <c r="BB32" s="34"/>
      <c r="BC32" s="34"/>
      <c r="BD32" s="34"/>
      <c r="BE32" s="34"/>
      <c r="BF32" s="34"/>
    </row>
    <row r="33" spans="1:58" ht="11.25" customHeight="1">
      <c r="A33" s="303" t="s">
        <v>1032</v>
      </c>
      <c r="E33" s="10"/>
      <c r="F33" s="1446"/>
      <c r="G33" s="1447"/>
      <c r="H33" s="1442" t="s">
        <v>110</v>
      </c>
      <c r="I33" s="1454"/>
      <c r="J33" s="1465"/>
      <c r="K33" s="1456"/>
      <c r="L33" s="1169"/>
      <c r="M33" s="1170"/>
      <c r="N33" s="1459"/>
      <c r="O33" s="1460"/>
      <c r="P33" s="1463"/>
      <c r="Q33" s="1455"/>
      <c r="R33" s="1415"/>
      <c r="S33" s="1464"/>
      <c r="T33" s="1415"/>
      <c r="U33" s="1415"/>
      <c r="V33" s="1415"/>
      <c r="W33" s="1415"/>
      <c r="X33" s="1415"/>
      <c r="Y33" s="1415"/>
      <c r="Z33" s="675"/>
      <c r="AA33" s="676"/>
      <c r="AB33" s="110" t="s">
        <v>1078</v>
      </c>
      <c r="AC33" s="680"/>
      <c r="AD33" s="680"/>
      <c r="AE33" s="682"/>
      <c r="AF33" s="1457"/>
      <c r="AG33" s="1458"/>
      <c r="AH33" s="1458"/>
      <c r="AI33" s="1466"/>
      <c r="AJ33" s="1458"/>
      <c r="AK33" s="1458"/>
      <c r="AL33" s="714"/>
      <c r="AM33" s="34"/>
      <c r="AN33" s="34"/>
      <c r="AO33" s="34"/>
      <c r="AP33" s="34"/>
      <c r="AQ33" s="34"/>
      <c r="AR33" s="34"/>
      <c r="AS33" s="34"/>
      <c r="AT33" s="34"/>
      <c r="AU33" s="34"/>
      <c r="AV33" s="34"/>
      <c r="AW33" s="34"/>
      <c r="AX33" s="34"/>
      <c r="AY33" s="34"/>
      <c r="AZ33" s="34"/>
      <c r="BA33" s="34"/>
      <c r="BB33" s="34"/>
      <c r="BC33" s="34"/>
      <c r="BD33" s="34"/>
      <c r="BE33" s="34"/>
      <c r="BF33" s="34"/>
    </row>
    <row r="34" spans="1:58" ht="11.25" customHeight="1">
      <c r="A34" s="303" t="s">
        <v>1032</v>
      </c>
      <c r="E34" s="10"/>
      <c r="F34" s="1446"/>
      <c r="G34" s="1447"/>
      <c r="H34" s="1442" t="s">
        <v>110</v>
      </c>
      <c r="I34" s="1454"/>
      <c r="J34" s="1465"/>
      <c r="K34" s="1456"/>
      <c r="L34" s="1169"/>
      <c r="M34" s="1170"/>
      <c r="N34" s="675"/>
      <c r="O34" s="676"/>
      <c r="P34" s="110" t="s">
        <v>1079</v>
      </c>
      <c r="Q34" s="676"/>
      <c r="R34" s="676"/>
      <c r="S34" s="676"/>
      <c r="T34" s="676"/>
      <c r="U34" s="676"/>
      <c r="V34" s="676"/>
      <c r="W34" s="676"/>
      <c r="X34" s="676"/>
      <c r="Y34" s="676"/>
      <c r="Z34" s="676"/>
      <c r="AA34" s="676"/>
      <c r="AB34" s="676"/>
      <c r="AC34" s="676"/>
      <c r="AD34" s="676"/>
      <c r="AE34" s="683"/>
      <c r="AF34" s="1457"/>
      <c r="AG34" s="1458"/>
      <c r="AH34" s="1458"/>
      <c r="AI34" s="1466"/>
      <c r="AJ34" s="1458"/>
      <c r="AK34" s="1458"/>
      <c r="AL34" s="714"/>
      <c r="AM34" s="34"/>
      <c r="AN34" s="34"/>
      <c r="AO34" s="34"/>
      <c r="AP34" s="34"/>
      <c r="AQ34" s="34"/>
      <c r="AR34" s="34"/>
      <c r="AS34" s="34"/>
      <c r="AT34" s="34"/>
      <c r="AU34" s="34"/>
      <c r="AV34" s="34"/>
      <c r="AW34" s="34"/>
      <c r="AX34" s="34"/>
      <c r="AY34" s="34"/>
      <c r="AZ34" s="34"/>
      <c r="BA34" s="34"/>
      <c r="BB34" s="34"/>
      <c r="BC34" s="34"/>
      <c r="BD34" s="34"/>
      <c r="BE34" s="34"/>
      <c r="BF34" s="34"/>
    </row>
    <row r="35" spans="1:58" ht="11.25" customHeight="1">
      <c r="A35" s="303" t="s">
        <v>1032</v>
      </c>
      <c r="B35" s="303" t="s">
        <v>22</v>
      </c>
      <c r="E35" s="10"/>
      <c r="F35" s="1446"/>
      <c r="G35" s="1182" t="s">
        <v>122</v>
      </c>
      <c r="H35" s="1442" t="s">
        <v>91</v>
      </c>
      <c r="I35" s="1454" t="s">
        <v>1082</v>
      </c>
      <c r="J35" s="1465" t="s">
        <v>22</v>
      </c>
      <c r="K35" s="1456" t="s">
        <v>1089</v>
      </c>
      <c r="L35" s="1169" t="s">
        <v>19</v>
      </c>
      <c r="M35" s="1170"/>
      <c r="N35" s="1053"/>
      <c r="O35" s="677" t="s">
        <v>382</v>
      </c>
      <c r="P35" s="678"/>
      <c r="Q35" s="678"/>
      <c r="R35" s="678"/>
      <c r="S35" s="678"/>
      <c r="T35" s="678"/>
      <c r="U35" s="678"/>
      <c r="V35" s="678"/>
      <c r="W35" s="678"/>
      <c r="X35" s="678"/>
      <c r="Y35" s="678"/>
      <c r="Z35" s="678"/>
      <c r="AA35" s="678"/>
      <c r="AB35" s="678"/>
      <c r="AC35" s="678"/>
      <c r="AD35" s="678"/>
      <c r="AE35" s="678"/>
      <c r="AF35" s="1457">
        <v>2023</v>
      </c>
      <c r="AG35" s="1458" t="s">
        <v>1081</v>
      </c>
      <c r="AH35" s="1458" t="s">
        <v>1069</v>
      </c>
      <c r="AI35" s="1466"/>
      <c r="AJ35" s="1458" t="s">
        <v>1084</v>
      </c>
      <c r="AK35" s="1458" t="s">
        <v>1084</v>
      </c>
      <c r="AL35" s="714"/>
      <c r="AM35" s="34"/>
      <c r="AN35" s="34"/>
      <c r="AO35" s="34"/>
      <c r="AP35" s="34"/>
      <c r="AQ35" s="34"/>
      <c r="AR35" s="34"/>
      <c r="AS35" s="34"/>
      <c r="AT35" s="34"/>
      <c r="AU35" s="34"/>
      <c r="AV35" s="34"/>
      <c r="AW35" s="34"/>
      <c r="AX35" s="34"/>
      <c r="AY35" s="34"/>
      <c r="AZ35" s="34"/>
      <c r="BA35" s="34"/>
      <c r="BB35" s="34"/>
      <c r="BC35" s="34"/>
      <c r="BD35" s="34"/>
      <c r="BE35" s="34"/>
      <c r="BF35" s="34"/>
    </row>
    <row r="36" spans="1:58" ht="6.75" customHeight="1">
      <c r="A36" s="303" t="s">
        <v>1032</v>
      </c>
      <c r="E36" s="10"/>
      <c r="F36" s="1446"/>
      <c r="G36" s="1447"/>
      <c r="H36" s="1442" t="s">
        <v>90</v>
      </c>
      <c r="I36" s="1454"/>
      <c r="J36" s="1465"/>
      <c r="K36" s="1456"/>
      <c r="L36" s="1169"/>
      <c r="M36" s="1170"/>
      <c r="N36" s="1459"/>
      <c r="O36" s="1460">
        <v>1</v>
      </c>
      <c r="P36" s="1461" t="s">
        <v>62</v>
      </c>
      <c r="Q36" s="1455" t="s">
        <v>1071</v>
      </c>
      <c r="R36" s="1464" t="s">
        <v>1072</v>
      </c>
      <c r="S36" s="1464" t="s">
        <v>100</v>
      </c>
      <c r="T36" s="1464" t="s">
        <v>100</v>
      </c>
      <c r="U36" s="1464" t="s">
        <v>101</v>
      </c>
      <c r="V36" s="1464" t="s">
        <v>1073</v>
      </c>
      <c r="W36" s="1464" t="s">
        <v>1074</v>
      </c>
      <c r="X36" s="1464" t="s">
        <v>1075</v>
      </c>
      <c r="Y36" s="1464" t="s">
        <v>1076</v>
      </c>
      <c r="Z36" s="675"/>
      <c r="AA36" s="676"/>
      <c r="AB36" s="676"/>
      <c r="AC36" s="680"/>
      <c r="AD36" s="680"/>
      <c r="AE36" s="681"/>
      <c r="AF36" s="1457"/>
      <c r="AG36" s="1458"/>
      <c r="AH36" s="1458"/>
      <c r="AI36" s="1466"/>
      <c r="AJ36" s="1458"/>
      <c r="AK36" s="1458"/>
      <c r="AL36" s="714"/>
      <c r="AM36" s="34"/>
      <c r="AN36" s="34"/>
      <c r="AO36" s="34"/>
      <c r="AP36" s="34"/>
      <c r="AQ36" s="34"/>
      <c r="AR36" s="34"/>
      <c r="AS36" s="34"/>
      <c r="AT36" s="34"/>
      <c r="AU36" s="34"/>
      <c r="AV36" s="34"/>
      <c r="AW36" s="34"/>
      <c r="AX36" s="34"/>
      <c r="AY36" s="34"/>
      <c r="AZ36" s="34"/>
      <c r="BA36" s="34"/>
      <c r="BB36" s="34"/>
      <c r="BC36" s="34"/>
      <c r="BD36" s="34"/>
      <c r="BE36" s="34"/>
      <c r="BF36" s="34"/>
    </row>
    <row r="37" spans="1:58" ht="32.25" customHeight="1">
      <c r="A37" s="303" t="s">
        <v>1032</v>
      </c>
      <c r="E37" s="10"/>
      <c r="F37" s="1446"/>
      <c r="G37" s="1447"/>
      <c r="H37" s="1442" t="s">
        <v>90</v>
      </c>
      <c r="I37" s="1454"/>
      <c r="J37" s="1465"/>
      <c r="K37" s="1456"/>
      <c r="L37" s="1169"/>
      <c r="M37" s="1170"/>
      <c r="N37" s="1459"/>
      <c r="O37" s="1460"/>
      <c r="P37" s="1462"/>
      <c r="Q37" s="1455"/>
      <c r="R37" s="1415"/>
      <c r="S37" s="1464"/>
      <c r="T37" s="1415"/>
      <c r="U37" s="1415"/>
      <c r="V37" s="1415"/>
      <c r="W37" s="1415"/>
      <c r="X37" s="1415"/>
      <c r="Y37" s="1415"/>
      <c r="Z37" s="987"/>
      <c r="AA37" s="978">
        <v>1</v>
      </c>
      <c r="AB37" s="679" t="s">
        <v>1088</v>
      </c>
      <c r="AC37" s="380">
        <v>2059.75</v>
      </c>
      <c r="AD37" s="679" t="str">
        <f>AB37</f>
        <v xml:space="preserve">     Амортизационные отчисления за исключением переоценки основных средств и нематериальных активов</v>
      </c>
      <c r="AE37" s="380">
        <v>0</v>
      </c>
      <c r="AF37" s="1457"/>
      <c r="AG37" s="1458"/>
      <c r="AH37" s="1458"/>
      <c r="AI37" s="1466"/>
      <c r="AJ37" s="1458"/>
      <c r="AK37" s="1458"/>
      <c r="AL37" s="714"/>
      <c r="AM37" s="34"/>
      <c r="AN37" s="34"/>
      <c r="AO37" s="34"/>
      <c r="AP37" s="34"/>
      <c r="AQ37" s="34"/>
      <c r="AR37" s="34"/>
      <c r="AS37" s="34"/>
      <c r="AT37" s="34"/>
      <c r="AU37" s="34"/>
      <c r="AV37" s="34"/>
      <c r="AW37" s="34"/>
      <c r="AX37" s="34"/>
      <c r="AY37" s="34"/>
      <c r="AZ37" s="34"/>
      <c r="BA37" s="34"/>
      <c r="BB37" s="34"/>
      <c r="BC37" s="34"/>
      <c r="BD37" s="34"/>
      <c r="BE37" s="34"/>
      <c r="BF37" s="34"/>
    </row>
    <row r="38" spans="1:58" ht="11.25" customHeight="1">
      <c r="A38" s="303" t="s">
        <v>1032</v>
      </c>
      <c r="E38" s="10"/>
      <c r="F38" s="1446"/>
      <c r="G38" s="1447"/>
      <c r="H38" s="1442" t="s">
        <v>90</v>
      </c>
      <c r="I38" s="1454"/>
      <c r="J38" s="1465"/>
      <c r="K38" s="1456"/>
      <c r="L38" s="1169"/>
      <c r="M38" s="1170"/>
      <c r="N38" s="1459"/>
      <c r="O38" s="1460"/>
      <c r="P38" s="1463"/>
      <c r="Q38" s="1455"/>
      <c r="R38" s="1415"/>
      <c r="S38" s="1464"/>
      <c r="T38" s="1415"/>
      <c r="U38" s="1415"/>
      <c r="V38" s="1415"/>
      <c r="W38" s="1415"/>
      <c r="X38" s="1415"/>
      <c r="Y38" s="1415"/>
      <c r="Z38" s="675"/>
      <c r="AA38" s="676"/>
      <c r="AB38" s="110" t="s">
        <v>1078</v>
      </c>
      <c r="AC38" s="680"/>
      <c r="AD38" s="680"/>
      <c r="AE38" s="682"/>
      <c r="AF38" s="1457"/>
      <c r="AG38" s="1458"/>
      <c r="AH38" s="1458"/>
      <c r="AI38" s="1466"/>
      <c r="AJ38" s="1458"/>
      <c r="AK38" s="1458"/>
      <c r="AL38" s="714"/>
      <c r="AM38" s="34"/>
      <c r="AN38" s="34"/>
      <c r="AO38" s="34"/>
      <c r="AP38" s="34"/>
      <c r="AQ38" s="34"/>
      <c r="AR38" s="34"/>
      <c r="AS38" s="34"/>
      <c r="AT38" s="34"/>
      <c r="AU38" s="34"/>
      <c r="AV38" s="34"/>
      <c r="AW38" s="34"/>
      <c r="AX38" s="34"/>
      <c r="AY38" s="34"/>
      <c r="AZ38" s="34"/>
      <c r="BA38" s="34"/>
      <c r="BB38" s="34"/>
      <c r="BC38" s="34"/>
      <c r="BD38" s="34"/>
      <c r="BE38" s="34"/>
      <c r="BF38" s="34"/>
    </row>
    <row r="39" spans="1:58" ht="11.25" customHeight="1">
      <c r="A39" s="303" t="s">
        <v>1032</v>
      </c>
      <c r="E39" s="10"/>
      <c r="F39" s="1446"/>
      <c r="G39" s="1447"/>
      <c r="H39" s="1442" t="s">
        <v>90</v>
      </c>
      <c r="I39" s="1454"/>
      <c r="J39" s="1465"/>
      <c r="K39" s="1456"/>
      <c r="L39" s="1169"/>
      <c r="M39" s="1170"/>
      <c r="N39" s="675"/>
      <c r="O39" s="676"/>
      <c r="P39" s="110" t="s">
        <v>1079</v>
      </c>
      <c r="Q39" s="676"/>
      <c r="R39" s="676"/>
      <c r="S39" s="676"/>
      <c r="T39" s="676"/>
      <c r="U39" s="676"/>
      <c r="V39" s="676"/>
      <c r="W39" s="676"/>
      <c r="X39" s="676"/>
      <c r="Y39" s="676"/>
      <c r="Z39" s="676"/>
      <c r="AA39" s="676"/>
      <c r="AB39" s="676"/>
      <c r="AC39" s="676"/>
      <c r="AD39" s="676"/>
      <c r="AE39" s="683"/>
      <c r="AF39" s="1457"/>
      <c r="AG39" s="1458"/>
      <c r="AH39" s="1458"/>
      <c r="AI39" s="1466"/>
      <c r="AJ39" s="1458"/>
      <c r="AK39" s="1458"/>
      <c r="AL39" s="714"/>
      <c r="AM39" s="34"/>
      <c r="AN39" s="34"/>
      <c r="AO39" s="34"/>
      <c r="AP39" s="34"/>
      <c r="AQ39" s="34"/>
      <c r="AR39" s="34"/>
      <c r="AS39" s="34"/>
      <c r="AT39" s="34"/>
      <c r="AU39" s="34"/>
      <c r="AV39" s="34"/>
      <c r="AW39" s="34"/>
      <c r="AX39" s="34"/>
      <c r="AY39" s="34"/>
      <c r="AZ39" s="34"/>
      <c r="BA39" s="34"/>
      <c r="BB39" s="34"/>
      <c r="BC39" s="34"/>
      <c r="BD39" s="34"/>
      <c r="BE39" s="34"/>
      <c r="BF39" s="34"/>
    </row>
    <row r="40" spans="1:58" ht="11.25" customHeight="1">
      <c r="A40" s="303" t="s">
        <v>1032</v>
      </c>
      <c r="B40" s="303" t="s">
        <v>22</v>
      </c>
      <c r="E40" s="10"/>
      <c r="F40" s="1446"/>
      <c r="G40" s="1182" t="s">
        <v>122</v>
      </c>
      <c r="H40" s="1442" t="s">
        <v>111</v>
      </c>
      <c r="I40" s="1454" t="s">
        <v>1082</v>
      </c>
      <c r="J40" s="1465" t="s">
        <v>22</v>
      </c>
      <c r="K40" s="1456" t="s">
        <v>1090</v>
      </c>
      <c r="L40" s="1169" t="s">
        <v>19</v>
      </c>
      <c r="M40" s="1170"/>
      <c r="N40" s="1053"/>
      <c r="O40" s="677" t="s">
        <v>382</v>
      </c>
      <c r="P40" s="678"/>
      <c r="Q40" s="678"/>
      <c r="R40" s="678"/>
      <c r="S40" s="678"/>
      <c r="T40" s="678"/>
      <c r="U40" s="678"/>
      <c r="V40" s="678"/>
      <c r="W40" s="678"/>
      <c r="X40" s="678"/>
      <c r="Y40" s="678"/>
      <c r="Z40" s="678"/>
      <c r="AA40" s="678"/>
      <c r="AB40" s="678"/>
      <c r="AC40" s="678"/>
      <c r="AD40" s="678"/>
      <c r="AE40" s="678"/>
      <c r="AF40" s="1457">
        <v>2023</v>
      </c>
      <c r="AG40" s="1458" t="s">
        <v>1081</v>
      </c>
      <c r="AH40" s="1458" t="s">
        <v>1069</v>
      </c>
      <c r="AI40" s="1466"/>
      <c r="AJ40" s="1458" t="s">
        <v>1084</v>
      </c>
      <c r="AK40" s="1458" t="s">
        <v>1084</v>
      </c>
      <c r="AL40" s="714"/>
      <c r="AM40" s="34"/>
      <c r="AN40" s="34"/>
      <c r="AO40" s="34"/>
      <c r="AP40" s="34"/>
      <c r="AQ40" s="34"/>
      <c r="AR40" s="34"/>
      <c r="AS40" s="34"/>
      <c r="AT40" s="34"/>
      <c r="AU40" s="34"/>
      <c r="AV40" s="34"/>
      <c r="AW40" s="34"/>
      <c r="AX40" s="34"/>
      <c r="AY40" s="34"/>
      <c r="AZ40" s="34"/>
      <c r="BA40" s="34"/>
      <c r="BB40" s="34"/>
      <c r="BC40" s="34"/>
      <c r="BD40" s="34"/>
      <c r="BE40" s="34"/>
      <c r="BF40" s="34"/>
    </row>
    <row r="41" spans="1:58" ht="11.25" customHeight="1">
      <c r="A41" s="303" t="s">
        <v>1032</v>
      </c>
      <c r="E41" s="10"/>
      <c r="F41" s="1446"/>
      <c r="G41" s="1447"/>
      <c r="H41" s="1442" t="s">
        <v>91</v>
      </c>
      <c r="I41" s="1454"/>
      <c r="J41" s="1465"/>
      <c r="K41" s="1456"/>
      <c r="L41" s="1169"/>
      <c r="M41" s="1170"/>
      <c r="N41" s="1459"/>
      <c r="O41" s="1460">
        <v>1</v>
      </c>
      <c r="P41" s="1461" t="s">
        <v>62</v>
      </c>
      <c r="Q41" s="1455" t="s">
        <v>1071</v>
      </c>
      <c r="R41" s="1464" t="s">
        <v>1072</v>
      </c>
      <c r="S41" s="1464" t="s">
        <v>100</v>
      </c>
      <c r="T41" s="1464" t="s">
        <v>100</v>
      </c>
      <c r="U41" s="1464" t="s">
        <v>101</v>
      </c>
      <c r="V41" s="1464" t="s">
        <v>1073</v>
      </c>
      <c r="W41" s="1464" t="s">
        <v>1074</v>
      </c>
      <c r="X41" s="1464" t="s">
        <v>1075</v>
      </c>
      <c r="Y41" s="1464" t="s">
        <v>1076</v>
      </c>
      <c r="Z41" s="675"/>
      <c r="AA41" s="676"/>
      <c r="AB41" s="676"/>
      <c r="AC41" s="680"/>
      <c r="AD41" s="680"/>
      <c r="AE41" s="681"/>
      <c r="AF41" s="1457"/>
      <c r="AG41" s="1458"/>
      <c r="AH41" s="1458"/>
      <c r="AI41" s="1466"/>
      <c r="AJ41" s="1458"/>
      <c r="AK41" s="1458"/>
      <c r="AL41" s="714"/>
      <c r="AM41" s="34"/>
      <c r="AN41" s="34"/>
      <c r="AO41" s="34"/>
      <c r="AP41" s="34"/>
      <c r="AQ41" s="34"/>
      <c r="AR41" s="34"/>
      <c r="AS41" s="34"/>
      <c r="AT41" s="34"/>
      <c r="AU41" s="34"/>
      <c r="AV41" s="34"/>
      <c r="AW41" s="34"/>
      <c r="AX41" s="34"/>
      <c r="AY41" s="34"/>
      <c r="AZ41" s="34"/>
      <c r="BA41" s="34"/>
      <c r="BB41" s="34"/>
      <c r="BC41" s="34"/>
      <c r="BD41" s="34"/>
      <c r="BE41" s="34"/>
      <c r="BF41" s="34"/>
    </row>
    <row r="42" spans="1:58" ht="32.25" customHeight="1">
      <c r="A42" s="303" t="s">
        <v>1032</v>
      </c>
      <c r="E42" s="10"/>
      <c r="F42" s="1446"/>
      <c r="G42" s="1447"/>
      <c r="H42" s="1442" t="s">
        <v>91</v>
      </c>
      <c r="I42" s="1454"/>
      <c r="J42" s="1465"/>
      <c r="K42" s="1456"/>
      <c r="L42" s="1169"/>
      <c r="M42" s="1170"/>
      <c r="N42" s="1459"/>
      <c r="O42" s="1460"/>
      <c r="P42" s="1462"/>
      <c r="Q42" s="1455"/>
      <c r="R42" s="1415"/>
      <c r="S42" s="1464"/>
      <c r="T42" s="1415"/>
      <c r="U42" s="1415"/>
      <c r="V42" s="1415"/>
      <c r="W42" s="1415"/>
      <c r="X42" s="1415"/>
      <c r="Y42" s="1415"/>
      <c r="Z42" s="987"/>
      <c r="AA42" s="978">
        <v>1</v>
      </c>
      <c r="AB42" s="679" t="s">
        <v>1088</v>
      </c>
      <c r="AC42" s="380">
        <v>856.42</v>
      </c>
      <c r="AD42" s="679" t="str">
        <f>AB42</f>
        <v xml:space="preserve">     Амортизационные отчисления за исключением переоценки основных средств и нематериальных активов</v>
      </c>
      <c r="AE42" s="380">
        <v>0</v>
      </c>
      <c r="AF42" s="1457"/>
      <c r="AG42" s="1458"/>
      <c r="AH42" s="1458"/>
      <c r="AI42" s="1466"/>
      <c r="AJ42" s="1458"/>
      <c r="AK42" s="1458"/>
      <c r="AL42" s="714"/>
      <c r="AM42" s="34"/>
      <c r="AN42" s="34"/>
      <c r="AO42" s="34"/>
      <c r="AP42" s="34"/>
      <c r="AQ42" s="34"/>
      <c r="AR42" s="34"/>
      <c r="AS42" s="34"/>
      <c r="AT42" s="34"/>
      <c r="AU42" s="34"/>
      <c r="AV42" s="34"/>
      <c r="AW42" s="34"/>
      <c r="AX42" s="34"/>
      <c r="AY42" s="34"/>
      <c r="AZ42" s="34"/>
      <c r="BA42" s="34"/>
      <c r="BB42" s="34"/>
      <c r="BC42" s="34"/>
      <c r="BD42" s="34"/>
      <c r="BE42" s="34"/>
      <c r="BF42" s="34"/>
    </row>
    <row r="43" spans="1:58" ht="11.25" customHeight="1">
      <c r="A43" s="303" t="s">
        <v>1032</v>
      </c>
      <c r="E43" s="10"/>
      <c r="F43" s="1446"/>
      <c r="G43" s="1447"/>
      <c r="H43" s="1442" t="s">
        <v>91</v>
      </c>
      <c r="I43" s="1454"/>
      <c r="J43" s="1465"/>
      <c r="K43" s="1456"/>
      <c r="L43" s="1169"/>
      <c r="M43" s="1170"/>
      <c r="N43" s="1459"/>
      <c r="O43" s="1460"/>
      <c r="P43" s="1463"/>
      <c r="Q43" s="1455"/>
      <c r="R43" s="1415"/>
      <c r="S43" s="1464"/>
      <c r="T43" s="1415"/>
      <c r="U43" s="1415"/>
      <c r="V43" s="1415"/>
      <c r="W43" s="1415"/>
      <c r="X43" s="1415"/>
      <c r="Y43" s="1415"/>
      <c r="Z43" s="675"/>
      <c r="AA43" s="676"/>
      <c r="AB43" s="110" t="s">
        <v>1078</v>
      </c>
      <c r="AC43" s="680"/>
      <c r="AD43" s="680"/>
      <c r="AE43" s="682"/>
      <c r="AF43" s="1457"/>
      <c r="AG43" s="1458"/>
      <c r="AH43" s="1458"/>
      <c r="AI43" s="1466"/>
      <c r="AJ43" s="1458"/>
      <c r="AK43" s="1458"/>
      <c r="AL43" s="714"/>
      <c r="AM43" s="34"/>
      <c r="AN43" s="34"/>
      <c r="AO43" s="34"/>
      <c r="AP43" s="34"/>
      <c r="AQ43" s="34"/>
      <c r="AR43" s="34"/>
      <c r="AS43" s="34"/>
      <c r="AT43" s="34"/>
      <c r="AU43" s="34"/>
      <c r="AV43" s="34"/>
      <c r="AW43" s="34"/>
      <c r="AX43" s="34"/>
      <c r="AY43" s="34"/>
      <c r="AZ43" s="34"/>
      <c r="BA43" s="34"/>
      <c r="BB43" s="34"/>
      <c r="BC43" s="34"/>
      <c r="BD43" s="34"/>
      <c r="BE43" s="34"/>
      <c r="BF43" s="34"/>
    </row>
    <row r="44" spans="1:58" ht="11.25" customHeight="1">
      <c r="A44" s="303" t="s">
        <v>1032</v>
      </c>
      <c r="E44" s="10"/>
      <c r="F44" s="1446"/>
      <c r="G44" s="1447"/>
      <c r="H44" s="1442" t="s">
        <v>91</v>
      </c>
      <c r="I44" s="1454"/>
      <c r="J44" s="1465"/>
      <c r="K44" s="1456"/>
      <c r="L44" s="1169"/>
      <c r="M44" s="1170"/>
      <c r="N44" s="675"/>
      <c r="O44" s="676"/>
      <c r="P44" s="110" t="s">
        <v>1079</v>
      </c>
      <c r="Q44" s="676"/>
      <c r="R44" s="676"/>
      <c r="S44" s="676"/>
      <c r="T44" s="676"/>
      <c r="U44" s="676"/>
      <c r="V44" s="676"/>
      <c r="W44" s="676"/>
      <c r="X44" s="676"/>
      <c r="Y44" s="676"/>
      <c r="Z44" s="676"/>
      <c r="AA44" s="676"/>
      <c r="AB44" s="676"/>
      <c r="AC44" s="676"/>
      <c r="AD44" s="676"/>
      <c r="AE44" s="683"/>
      <c r="AF44" s="1457"/>
      <c r="AG44" s="1458"/>
      <c r="AH44" s="1458"/>
      <c r="AI44" s="1466"/>
      <c r="AJ44" s="1458"/>
      <c r="AK44" s="1458"/>
      <c r="AL44" s="714"/>
      <c r="AM44" s="34"/>
      <c r="AN44" s="34"/>
      <c r="AO44" s="34"/>
      <c r="AP44" s="34"/>
      <c r="AQ44" s="34"/>
      <c r="AR44" s="34"/>
      <c r="AS44" s="34"/>
      <c r="AT44" s="34"/>
      <c r="AU44" s="34"/>
      <c r="AV44" s="34"/>
      <c r="AW44" s="34"/>
      <c r="AX44" s="34"/>
      <c r="AY44" s="34"/>
      <c r="AZ44" s="34"/>
      <c r="BA44" s="34"/>
      <c r="BB44" s="34"/>
      <c r="BC44" s="34"/>
      <c r="BD44" s="34"/>
      <c r="BE44" s="34"/>
      <c r="BF44" s="34"/>
    </row>
    <row r="45" spans="1:58" ht="11.25" customHeight="1">
      <c r="A45" s="303" t="s">
        <v>1032</v>
      </c>
      <c r="B45" s="303" t="s">
        <v>22</v>
      </c>
      <c r="E45" s="10"/>
      <c r="F45" s="1446"/>
      <c r="G45" s="1182" t="s">
        <v>122</v>
      </c>
      <c r="H45" s="1442" t="s">
        <v>92</v>
      </c>
      <c r="I45" s="1454" t="s">
        <v>1082</v>
      </c>
      <c r="J45" s="1465" t="s">
        <v>22</v>
      </c>
      <c r="K45" s="1456" t="s">
        <v>1091</v>
      </c>
      <c r="L45" s="1169" t="s">
        <v>19</v>
      </c>
      <c r="M45" s="1170"/>
      <c r="N45" s="1053"/>
      <c r="O45" s="677" t="s">
        <v>382</v>
      </c>
      <c r="P45" s="678"/>
      <c r="Q45" s="678"/>
      <c r="R45" s="678"/>
      <c r="S45" s="678"/>
      <c r="T45" s="678"/>
      <c r="U45" s="678"/>
      <c r="V45" s="678"/>
      <c r="W45" s="678"/>
      <c r="X45" s="678"/>
      <c r="Y45" s="678"/>
      <c r="Z45" s="678"/>
      <c r="AA45" s="678"/>
      <c r="AB45" s="678"/>
      <c r="AC45" s="678"/>
      <c r="AD45" s="678"/>
      <c r="AE45" s="678"/>
      <c r="AF45" s="1457">
        <v>2023</v>
      </c>
      <c r="AG45" s="1458" t="s">
        <v>1081</v>
      </c>
      <c r="AH45" s="1458" t="s">
        <v>1069</v>
      </c>
      <c r="AI45" s="1466"/>
      <c r="AJ45" s="1458" t="s">
        <v>1084</v>
      </c>
      <c r="AK45" s="1458" t="s">
        <v>1084</v>
      </c>
      <c r="AL45" s="714"/>
      <c r="AM45" s="34"/>
      <c r="AN45" s="34"/>
      <c r="AO45" s="34"/>
      <c r="AP45" s="34"/>
      <c r="AQ45" s="34"/>
      <c r="AR45" s="34"/>
      <c r="AS45" s="34"/>
      <c r="AT45" s="34"/>
      <c r="AU45" s="34"/>
      <c r="AV45" s="34"/>
      <c r="AW45" s="34"/>
      <c r="AX45" s="34"/>
      <c r="AY45" s="34"/>
      <c r="AZ45" s="34"/>
      <c r="BA45" s="34"/>
      <c r="BB45" s="34"/>
      <c r="BC45" s="34"/>
      <c r="BD45" s="34"/>
      <c r="BE45" s="34"/>
      <c r="BF45" s="34"/>
    </row>
    <row r="46" spans="1:58" ht="11.25" customHeight="1">
      <c r="A46" s="303" t="s">
        <v>1032</v>
      </c>
      <c r="E46" s="10"/>
      <c r="F46" s="1446"/>
      <c r="G46" s="1447"/>
      <c r="H46" s="1442" t="s">
        <v>111</v>
      </c>
      <c r="I46" s="1454"/>
      <c r="J46" s="1465"/>
      <c r="K46" s="1456"/>
      <c r="L46" s="1169"/>
      <c r="M46" s="1170"/>
      <c r="N46" s="1459"/>
      <c r="O46" s="1460">
        <v>1</v>
      </c>
      <c r="P46" s="1461" t="s">
        <v>62</v>
      </c>
      <c r="Q46" s="1455" t="s">
        <v>1085</v>
      </c>
      <c r="R46" s="1464" t="s">
        <v>1072</v>
      </c>
      <c r="S46" s="1464" t="s">
        <v>100</v>
      </c>
      <c r="T46" s="1464" t="s">
        <v>100</v>
      </c>
      <c r="U46" s="1464" t="s">
        <v>101</v>
      </c>
      <c r="V46" s="1464" t="s">
        <v>1073</v>
      </c>
      <c r="W46" s="1464" t="s">
        <v>1074</v>
      </c>
      <c r="X46" s="1464" t="s">
        <v>1086</v>
      </c>
      <c r="Y46" s="1464" t="s">
        <v>1087</v>
      </c>
      <c r="Z46" s="675"/>
      <c r="AA46" s="676"/>
      <c r="AB46" s="676"/>
      <c r="AC46" s="680"/>
      <c r="AD46" s="680"/>
      <c r="AE46" s="681"/>
      <c r="AF46" s="1457"/>
      <c r="AG46" s="1458"/>
      <c r="AH46" s="1458"/>
      <c r="AI46" s="1466"/>
      <c r="AJ46" s="1458"/>
      <c r="AK46" s="1458"/>
      <c r="AL46" s="714"/>
      <c r="AM46" s="34"/>
      <c r="AN46" s="34"/>
      <c r="AO46" s="34"/>
      <c r="AP46" s="34"/>
      <c r="AQ46" s="34"/>
      <c r="AR46" s="34"/>
      <c r="AS46" s="34"/>
      <c r="AT46" s="34"/>
      <c r="AU46" s="34"/>
      <c r="AV46" s="34"/>
      <c r="AW46" s="34"/>
      <c r="AX46" s="34"/>
      <c r="AY46" s="34"/>
      <c r="AZ46" s="34"/>
      <c r="BA46" s="34"/>
      <c r="BB46" s="34"/>
      <c r="BC46" s="34"/>
      <c r="BD46" s="34"/>
      <c r="BE46" s="34"/>
      <c r="BF46" s="34"/>
    </row>
    <row r="47" spans="1:58" ht="32.25" customHeight="1">
      <c r="A47" s="303" t="s">
        <v>1032</v>
      </c>
      <c r="E47" s="10"/>
      <c r="F47" s="1446"/>
      <c r="G47" s="1447"/>
      <c r="H47" s="1442" t="s">
        <v>111</v>
      </c>
      <c r="I47" s="1454"/>
      <c r="J47" s="1465"/>
      <c r="K47" s="1456"/>
      <c r="L47" s="1169"/>
      <c r="M47" s="1170"/>
      <c r="N47" s="1459"/>
      <c r="O47" s="1460"/>
      <c r="P47" s="1462"/>
      <c r="Q47" s="1455"/>
      <c r="R47" s="1415"/>
      <c r="S47" s="1464"/>
      <c r="T47" s="1415"/>
      <c r="U47" s="1415"/>
      <c r="V47" s="1415"/>
      <c r="W47" s="1415"/>
      <c r="X47" s="1415"/>
      <c r="Y47" s="1415"/>
      <c r="Z47" s="987"/>
      <c r="AA47" s="978">
        <v>1</v>
      </c>
      <c r="AB47" s="679" t="s">
        <v>1088</v>
      </c>
      <c r="AC47" s="380">
        <v>1311.2</v>
      </c>
      <c r="AD47" s="679" t="str">
        <f>AB47</f>
        <v xml:space="preserve">     Амортизационные отчисления за исключением переоценки основных средств и нематериальных активов</v>
      </c>
      <c r="AE47" s="380">
        <v>0</v>
      </c>
      <c r="AF47" s="1457"/>
      <c r="AG47" s="1458"/>
      <c r="AH47" s="1458"/>
      <c r="AI47" s="1466"/>
      <c r="AJ47" s="1458"/>
      <c r="AK47" s="1458"/>
      <c r="AL47" s="714"/>
      <c r="AM47" s="34"/>
      <c r="AN47" s="34"/>
      <c r="AO47" s="34"/>
      <c r="AP47" s="34"/>
      <c r="AQ47" s="34"/>
      <c r="AR47" s="34"/>
      <c r="AS47" s="34"/>
      <c r="AT47" s="34"/>
      <c r="AU47" s="34"/>
      <c r="AV47" s="34"/>
      <c r="AW47" s="34"/>
      <c r="AX47" s="34"/>
      <c r="AY47" s="34"/>
      <c r="AZ47" s="34"/>
      <c r="BA47" s="34"/>
      <c r="BB47" s="34"/>
      <c r="BC47" s="34"/>
      <c r="BD47" s="34"/>
      <c r="BE47" s="34"/>
      <c r="BF47" s="34"/>
    </row>
    <row r="48" spans="1:58" ht="11.25" customHeight="1">
      <c r="A48" s="303" t="s">
        <v>1032</v>
      </c>
      <c r="E48" s="10"/>
      <c r="F48" s="1446"/>
      <c r="G48" s="1447"/>
      <c r="H48" s="1442" t="s">
        <v>111</v>
      </c>
      <c r="I48" s="1454"/>
      <c r="J48" s="1465"/>
      <c r="K48" s="1456"/>
      <c r="L48" s="1169"/>
      <c r="M48" s="1170"/>
      <c r="N48" s="1459"/>
      <c r="O48" s="1460"/>
      <c r="P48" s="1463"/>
      <c r="Q48" s="1455"/>
      <c r="R48" s="1415"/>
      <c r="S48" s="1464"/>
      <c r="T48" s="1415"/>
      <c r="U48" s="1415"/>
      <c r="V48" s="1415"/>
      <c r="W48" s="1415"/>
      <c r="X48" s="1415"/>
      <c r="Y48" s="1415"/>
      <c r="Z48" s="675"/>
      <c r="AA48" s="676"/>
      <c r="AB48" s="110" t="s">
        <v>1078</v>
      </c>
      <c r="AC48" s="680"/>
      <c r="AD48" s="680"/>
      <c r="AE48" s="682"/>
      <c r="AF48" s="1457"/>
      <c r="AG48" s="1458"/>
      <c r="AH48" s="1458"/>
      <c r="AI48" s="1466"/>
      <c r="AJ48" s="1458"/>
      <c r="AK48" s="1458"/>
      <c r="AL48" s="714"/>
      <c r="AM48" s="34"/>
      <c r="AN48" s="34"/>
      <c r="AO48" s="34"/>
      <c r="AP48" s="34"/>
      <c r="AQ48" s="34"/>
      <c r="AR48" s="34"/>
      <c r="AS48" s="34"/>
      <c r="AT48" s="34"/>
      <c r="AU48" s="34"/>
      <c r="AV48" s="34"/>
      <c r="AW48" s="34"/>
      <c r="AX48" s="34"/>
      <c r="AY48" s="34"/>
      <c r="AZ48" s="34"/>
      <c r="BA48" s="34"/>
      <c r="BB48" s="34"/>
      <c r="BC48" s="34"/>
      <c r="BD48" s="34"/>
      <c r="BE48" s="34"/>
      <c r="BF48" s="34"/>
    </row>
    <row r="49" spans="1:58" ht="11.25" customHeight="1">
      <c r="A49" s="303" t="s">
        <v>1032</v>
      </c>
      <c r="E49" s="10"/>
      <c r="F49" s="1446"/>
      <c r="G49" s="1447"/>
      <c r="H49" s="1442" t="s">
        <v>111</v>
      </c>
      <c r="I49" s="1454"/>
      <c r="J49" s="1465"/>
      <c r="K49" s="1456"/>
      <c r="L49" s="1169"/>
      <c r="M49" s="1170"/>
      <c r="N49" s="675"/>
      <c r="O49" s="676"/>
      <c r="P49" s="110" t="s">
        <v>1079</v>
      </c>
      <c r="Q49" s="676"/>
      <c r="R49" s="676"/>
      <c r="S49" s="676"/>
      <c r="T49" s="676"/>
      <c r="U49" s="676"/>
      <c r="V49" s="676"/>
      <c r="W49" s="676"/>
      <c r="X49" s="676"/>
      <c r="Y49" s="676"/>
      <c r="Z49" s="676"/>
      <c r="AA49" s="676"/>
      <c r="AB49" s="676"/>
      <c r="AC49" s="676"/>
      <c r="AD49" s="676"/>
      <c r="AE49" s="683"/>
      <c r="AF49" s="1457"/>
      <c r="AG49" s="1458"/>
      <c r="AH49" s="1458"/>
      <c r="AI49" s="1466"/>
      <c r="AJ49" s="1458"/>
      <c r="AK49" s="1458"/>
      <c r="AL49" s="714"/>
      <c r="AM49" s="34"/>
      <c r="AN49" s="34"/>
      <c r="AO49" s="34"/>
      <c r="AP49" s="34"/>
      <c r="AQ49" s="34"/>
      <c r="AR49" s="34"/>
      <c r="AS49" s="34"/>
      <c r="AT49" s="34"/>
      <c r="AU49" s="34"/>
      <c r="AV49" s="34"/>
      <c r="AW49" s="34"/>
      <c r="AX49" s="34"/>
      <c r="AY49" s="34"/>
      <c r="AZ49" s="34"/>
      <c r="BA49" s="34"/>
      <c r="BB49" s="34"/>
      <c r="BC49" s="34"/>
      <c r="BD49" s="34"/>
      <c r="BE49" s="34"/>
      <c r="BF49" s="34"/>
    </row>
    <row r="50" spans="1:58" ht="11.25" customHeight="1">
      <c r="A50" s="303" t="s">
        <v>1032</v>
      </c>
      <c r="B50" s="303" t="s">
        <v>22</v>
      </c>
      <c r="E50" s="10"/>
      <c r="F50" s="1446"/>
      <c r="G50" s="1182" t="s">
        <v>122</v>
      </c>
      <c r="H50" s="1442" t="s">
        <v>93</v>
      </c>
      <c r="I50" s="1454" t="s">
        <v>1082</v>
      </c>
      <c r="J50" s="1465" t="s">
        <v>22</v>
      </c>
      <c r="K50" s="1456" t="s">
        <v>1092</v>
      </c>
      <c r="L50" s="1169" t="s">
        <v>19</v>
      </c>
      <c r="M50" s="1170"/>
      <c r="N50" s="1053"/>
      <c r="O50" s="677" t="s">
        <v>382</v>
      </c>
      <c r="P50" s="678"/>
      <c r="Q50" s="678"/>
      <c r="R50" s="678"/>
      <c r="S50" s="678"/>
      <c r="T50" s="678"/>
      <c r="U50" s="678"/>
      <c r="V50" s="678"/>
      <c r="W50" s="678"/>
      <c r="X50" s="678"/>
      <c r="Y50" s="678"/>
      <c r="Z50" s="678"/>
      <c r="AA50" s="678"/>
      <c r="AB50" s="678"/>
      <c r="AC50" s="678"/>
      <c r="AD50" s="678"/>
      <c r="AE50" s="678"/>
      <c r="AF50" s="1457">
        <v>2023</v>
      </c>
      <c r="AG50" s="1458" t="s">
        <v>1093</v>
      </c>
      <c r="AH50" s="1458" t="s">
        <v>1069</v>
      </c>
      <c r="AI50" s="1457">
        <v>2023</v>
      </c>
      <c r="AJ50" s="1458" t="s">
        <v>1070</v>
      </c>
      <c r="AK50" s="1458" t="s">
        <v>1069</v>
      </c>
      <c r="AL50" s="714"/>
      <c r="AM50" s="34"/>
      <c r="AN50" s="34"/>
      <c r="AO50" s="34"/>
      <c r="AP50" s="34"/>
      <c r="AQ50" s="34"/>
      <c r="AR50" s="34"/>
      <c r="AS50" s="34"/>
      <c r="AT50" s="34"/>
      <c r="AU50" s="34"/>
      <c r="AV50" s="34"/>
      <c r="AW50" s="34"/>
      <c r="AX50" s="34"/>
      <c r="AY50" s="34"/>
      <c r="AZ50" s="34"/>
      <c r="BA50" s="34"/>
      <c r="BB50" s="34"/>
      <c r="BC50" s="34"/>
      <c r="BD50" s="34"/>
      <c r="BE50" s="34"/>
      <c r="BF50" s="34"/>
    </row>
    <row r="51" spans="1:58" ht="10.5" customHeight="1">
      <c r="A51" s="303" t="s">
        <v>1032</v>
      </c>
      <c r="E51" s="10"/>
      <c r="F51" s="1446"/>
      <c r="G51" s="1447"/>
      <c r="H51" s="1442" t="s">
        <v>92</v>
      </c>
      <c r="I51" s="1454"/>
      <c r="J51" s="1465"/>
      <c r="K51" s="1456"/>
      <c r="L51" s="1169"/>
      <c r="M51" s="1170"/>
      <c r="N51" s="1459"/>
      <c r="O51" s="1460">
        <v>1</v>
      </c>
      <c r="P51" s="1461" t="s">
        <v>62</v>
      </c>
      <c r="Q51" s="1455" t="s">
        <v>1071</v>
      </c>
      <c r="R51" s="1464" t="s">
        <v>1072</v>
      </c>
      <c r="S51" s="1464" t="s">
        <v>100</v>
      </c>
      <c r="T51" s="1464" t="s">
        <v>100</v>
      </c>
      <c r="U51" s="1464" t="s">
        <v>101</v>
      </c>
      <c r="V51" s="1464" t="s">
        <v>1073</v>
      </c>
      <c r="W51" s="1464" t="s">
        <v>1074</v>
      </c>
      <c r="X51" s="1464" t="s">
        <v>1075</v>
      </c>
      <c r="Y51" s="1464" t="s">
        <v>1076</v>
      </c>
      <c r="Z51" s="675"/>
      <c r="AA51" s="676"/>
      <c r="AB51" s="676"/>
      <c r="AC51" s="680"/>
      <c r="AD51" s="680"/>
      <c r="AE51" s="681"/>
      <c r="AF51" s="1457"/>
      <c r="AG51" s="1458"/>
      <c r="AH51" s="1458"/>
      <c r="AI51" s="1457"/>
      <c r="AJ51" s="1458"/>
      <c r="AK51" s="1458"/>
      <c r="AL51" s="714"/>
      <c r="AM51" s="34"/>
      <c r="AN51" s="34"/>
      <c r="AO51" s="34"/>
      <c r="AP51" s="34"/>
      <c r="AQ51" s="34"/>
      <c r="AR51" s="34"/>
      <c r="AS51" s="34"/>
      <c r="AT51" s="34"/>
      <c r="AU51" s="34"/>
      <c r="AV51" s="34"/>
      <c r="AW51" s="34"/>
      <c r="AX51" s="34"/>
      <c r="AY51" s="34"/>
      <c r="AZ51" s="34"/>
      <c r="BA51" s="34"/>
      <c r="BB51" s="34"/>
      <c r="BC51" s="34"/>
      <c r="BD51" s="34"/>
      <c r="BE51" s="34"/>
      <c r="BF51" s="34"/>
    </row>
    <row r="52" spans="1:58" ht="32.25" customHeight="1">
      <c r="A52" s="303" t="s">
        <v>1032</v>
      </c>
      <c r="E52" s="10"/>
      <c r="F52" s="1446"/>
      <c r="G52" s="1447"/>
      <c r="H52" s="1442" t="s">
        <v>92</v>
      </c>
      <c r="I52" s="1454"/>
      <c r="J52" s="1465"/>
      <c r="K52" s="1456"/>
      <c r="L52" s="1169"/>
      <c r="M52" s="1170"/>
      <c r="N52" s="1459"/>
      <c r="O52" s="1460"/>
      <c r="P52" s="1462"/>
      <c r="Q52" s="1455"/>
      <c r="R52" s="1415"/>
      <c r="S52" s="1464"/>
      <c r="T52" s="1415"/>
      <c r="U52" s="1415"/>
      <c r="V52" s="1415"/>
      <c r="W52" s="1415"/>
      <c r="X52" s="1415"/>
      <c r="Y52" s="1415"/>
      <c r="Z52" s="987"/>
      <c r="AA52" s="978">
        <v>1</v>
      </c>
      <c r="AB52" s="679" t="s">
        <v>1088</v>
      </c>
      <c r="AC52" s="380">
        <v>1428</v>
      </c>
      <c r="AD52" s="679" t="s">
        <v>1094</v>
      </c>
      <c r="AE52" s="380">
        <v>1400</v>
      </c>
      <c r="AF52" s="1457"/>
      <c r="AG52" s="1458"/>
      <c r="AH52" s="1458"/>
      <c r="AI52" s="1457"/>
      <c r="AJ52" s="1458"/>
      <c r="AK52" s="1458"/>
      <c r="AL52" s="714"/>
      <c r="AM52" s="34"/>
      <c r="AN52" s="34"/>
      <c r="AO52" s="34"/>
      <c r="AP52" s="34"/>
      <c r="AQ52" s="34"/>
      <c r="AR52" s="34"/>
      <c r="AS52" s="34"/>
      <c r="AT52" s="34"/>
      <c r="AU52" s="34"/>
      <c r="AV52" s="34"/>
      <c r="AW52" s="34"/>
      <c r="AX52" s="34"/>
      <c r="AY52" s="34"/>
      <c r="AZ52" s="34"/>
      <c r="BA52" s="34"/>
      <c r="BB52" s="34"/>
      <c r="BC52" s="34"/>
      <c r="BD52" s="34"/>
      <c r="BE52" s="34"/>
      <c r="BF52" s="34"/>
    </row>
    <row r="53" spans="1:58" ht="11.25" customHeight="1">
      <c r="A53" s="303" t="s">
        <v>1032</v>
      </c>
      <c r="E53" s="10"/>
      <c r="F53" s="1446"/>
      <c r="G53" s="1447"/>
      <c r="H53" s="1442" t="s">
        <v>92</v>
      </c>
      <c r="I53" s="1454"/>
      <c r="J53" s="1465"/>
      <c r="K53" s="1456"/>
      <c r="L53" s="1169"/>
      <c r="M53" s="1170"/>
      <c r="N53" s="1459"/>
      <c r="O53" s="1460"/>
      <c r="P53" s="1463"/>
      <c r="Q53" s="1455"/>
      <c r="R53" s="1415"/>
      <c r="S53" s="1464"/>
      <c r="T53" s="1415"/>
      <c r="U53" s="1415"/>
      <c r="V53" s="1415"/>
      <c r="W53" s="1415"/>
      <c r="X53" s="1415"/>
      <c r="Y53" s="1415"/>
      <c r="Z53" s="675"/>
      <c r="AA53" s="676"/>
      <c r="AB53" s="110" t="s">
        <v>1078</v>
      </c>
      <c r="AC53" s="680"/>
      <c r="AD53" s="680"/>
      <c r="AE53" s="682"/>
      <c r="AF53" s="1457"/>
      <c r="AG53" s="1458"/>
      <c r="AH53" s="1458"/>
      <c r="AI53" s="1457"/>
      <c r="AJ53" s="1458"/>
      <c r="AK53" s="1458"/>
      <c r="AL53" s="714"/>
      <c r="AM53" s="34"/>
      <c r="AN53" s="34"/>
      <c r="AO53" s="34"/>
      <c r="AP53" s="34"/>
      <c r="AQ53" s="34"/>
      <c r="AR53" s="34"/>
      <c r="AS53" s="34"/>
      <c r="AT53" s="34"/>
      <c r="AU53" s="34"/>
      <c r="AV53" s="34"/>
      <c r="AW53" s="34"/>
      <c r="AX53" s="34"/>
      <c r="AY53" s="34"/>
      <c r="AZ53" s="34"/>
      <c r="BA53" s="34"/>
      <c r="BB53" s="34"/>
      <c r="BC53" s="34"/>
      <c r="BD53" s="34"/>
      <c r="BE53" s="34"/>
      <c r="BF53" s="34"/>
    </row>
    <row r="54" spans="1:58" ht="11.25" customHeight="1">
      <c r="A54" s="303" t="s">
        <v>1032</v>
      </c>
      <c r="E54" s="10"/>
      <c r="F54" s="1446"/>
      <c r="G54" s="1447"/>
      <c r="H54" s="1442" t="s">
        <v>92</v>
      </c>
      <c r="I54" s="1454"/>
      <c r="J54" s="1465"/>
      <c r="K54" s="1456"/>
      <c r="L54" s="1169"/>
      <c r="M54" s="1170"/>
      <c r="N54" s="675"/>
      <c r="O54" s="676"/>
      <c r="P54" s="110" t="s">
        <v>1079</v>
      </c>
      <c r="Q54" s="676"/>
      <c r="R54" s="676"/>
      <c r="S54" s="676"/>
      <c r="T54" s="676"/>
      <c r="U54" s="676"/>
      <c r="V54" s="676"/>
      <c r="W54" s="676"/>
      <c r="X54" s="676"/>
      <c r="Y54" s="676"/>
      <c r="Z54" s="676"/>
      <c r="AA54" s="676"/>
      <c r="AB54" s="676"/>
      <c r="AC54" s="676"/>
      <c r="AD54" s="676"/>
      <c r="AE54" s="683"/>
      <c r="AF54" s="1457"/>
      <c r="AG54" s="1458"/>
      <c r="AH54" s="1458"/>
      <c r="AI54" s="1457"/>
      <c r="AJ54" s="1458"/>
      <c r="AK54" s="1458"/>
      <c r="AL54" s="714"/>
      <c r="AM54" s="34"/>
      <c r="AN54" s="34"/>
      <c r="AO54" s="34"/>
      <c r="AP54" s="34"/>
      <c r="AQ54" s="34"/>
      <c r="AR54" s="34"/>
      <c r="AS54" s="34"/>
      <c r="AT54" s="34"/>
      <c r="AU54" s="34"/>
      <c r="AV54" s="34"/>
      <c r="AW54" s="34"/>
      <c r="AX54" s="34"/>
      <c r="AY54" s="34"/>
      <c r="AZ54" s="34"/>
      <c r="BA54" s="34"/>
      <c r="BB54" s="34"/>
      <c r="BC54" s="34"/>
      <c r="BD54" s="34"/>
      <c r="BE54" s="34"/>
      <c r="BF54" s="34"/>
    </row>
    <row r="55" spans="1:58" ht="11.25" customHeight="1">
      <c r="A55" s="303" t="s">
        <v>1032</v>
      </c>
      <c r="B55" s="303" t="s">
        <v>22</v>
      </c>
      <c r="E55" s="10"/>
      <c r="F55" s="1446"/>
      <c r="G55" s="1182" t="s">
        <v>122</v>
      </c>
      <c r="H55" s="1442" t="s">
        <v>112</v>
      </c>
      <c r="I55" s="1454" t="s">
        <v>1082</v>
      </c>
      <c r="J55" s="1465" t="s">
        <v>22</v>
      </c>
      <c r="K55" s="1456" t="s">
        <v>1095</v>
      </c>
      <c r="L55" s="1169" t="s">
        <v>19</v>
      </c>
      <c r="M55" s="1170"/>
      <c r="N55" s="1053"/>
      <c r="O55" s="677" t="s">
        <v>382</v>
      </c>
      <c r="P55" s="678"/>
      <c r="Q55" s="678"/>
      <c r="R55" s="678"/>
      <c r="S55" s="678"/>
      <c r="T55" s="678"/>
      <c r="U55" s="678"/>
      <c r="V55" s="678"/>
      <c r="W55" s="678"/>
      <c r="X55" s="678"/>
      <c r="Y55" s="678"/>
      <c r="Z55" s="678"/>
      <c r="AA55" s="678"/>
      <c r="AB55" s="678"/>
      <c r="AC55" s="678"/>
      <c r="AD55" s="678"/>
      <c r="AE55" s="678"/>
      <c r="AF55" s="1457">
        <v>2023</v>
      </c>
      <c r="AG55" s="1458" t="s">
        <v>1070</v>
      </c>
      <c r="AH55" s="1458" t="s">
        <v>1069</v>
      </c>
      <c r="AI55" s="1457">
        <v>2023</v>
      </c>
      <c r="AJ55" s="1458" t="s">
        <v>1070</v>
      </c>
      <c r="AK55" s="1458" t="s">
        <v>1069</v>
      </c>
      <c r="AL55" s="714"/>
      <c r="AM55" s="34"/>
      <c r="AN55" s="34"/>
      <c r="AO55" s="34"/>
      <c r="AP55" s="34"/>
      <c r="AQ55" s="34"/>
      <c r="AR55" s="34"/>
      <c r="AS55" s="34"/>
      <c r="AT55" s="34"/>
      <c r="AU55" s="34"/>
      <c r="AV55" s="34"/>
      <c r="AW55" s="34"/>
      <c r="AX55" s="34"/>
      <c r="AY55" s="34"/>
      <c r="AZ55" s="34"/>
      <c r="BA55" s="34"/>
      <c r="BB55" s="34"/>
      <c r="BC55" s="34"/>
      <c r="BD55" s="34"/>
      <c r="BE55" s="34"/>
      <c r="BF55" s="34"/>
    </row>
    <row r="56" spans="1:58" ht="11.25" customHeight="1">
      <c r="A56" s="303" t="s">
        <v>1032</v>
      </c>
      <c r="E56" s="10"/>
      <c r="F56" s="1446"/>
      <c r="G56" s="1447"/>
      <c r="H56" s="1442" t="s">
        <v>93</v>
      </c>
      <c r="I56" s="1454"/>
      <c r="J56" s="1465"/>
      <c r="K56" s="1456"/>
      <c r="L56" s="1169"/>
      <c r="M56" s="1170"/>
      <c r="N56" s="1459"/>
      <c r="O56" s="1460">
        <v>1</v>
      </c>
      <c r="P56" s="1461" t="s">
        <v>62</v>
      </c>
      <c r="Q56" s="1455" t="s">
        <v>1071</v>
      </c>
      <c r="R56" s="1464" t="s">
        <v>1072</v>
      </c>
      <c r="S56" s="1464" t="s">
        <v>100</v>
      </c>
      <c r="T56" s="1464" t="s">
        <v>100</v>
      </c>
      <c r="U56" s="1464" t="s">
        <v>101</v>
      </c>
      <c r="V56" s="1464" t="s">
        <v>1073</v>
      </c>
      <c r="W56" s="1464" t="s">
        <v>1074</v>
      </c>
      <c r="X56" s="1464" t="s">
        <v>1075</v>
      </c>
      <c r="Y56" s="1464" t="s">
        <v>1076</v>
      </c>
      <c r="Z56" s="675"/>
      <c r="AA56" s="676"/>
      <c r="AB56" s="676"/>
      <c r="AC56" s="680"/>
      <c r="AD56" s="680"/>
      <c r="AE56" s="681"/>
      <c r="AF56" s="1457"/>
      <c r="AG56" s="1458"/>
      <c r="AH56" s="1458"/>
      <c r="AI56" s="1457"/>
      <c r="AJ56" s="1458"/>
      <c r="AK56" s="1458"/>
      <c r="AL56" s="714"/>
      <c r="AM56" s="34"/>
      <c r="AN56" s="34"/>
      <c r="AO56" s="34"/>
      <c r="AP56" s="34"/>
      <c r="AQ56" s="34"/>
      <c r="AR56" s="34"/>
      <c r="AS56" s="34"/>
      <c r="AT56" s="34"/>
      <c r="AU56" s="34"/>
      <c r="AV56" s="34"/>
      <c r="AW56" s="34"/>
      <c r="AX56" s="34"/>
      <c r="AY56" s="34"/>
      <c r="AZ56" s="34"/>
      <c r="BA56" s="34"/>
      <c r="BB56" s="34"/>
      <c r="BC56" s="34"/>
      <c r="BD56" s="34"/>
      <c r="BE56" s="34"/>
      <c r="BF56" s="34"/>
    </row>
    <row r="57" spans="1:58" ht="32.25" customHeight="1">
      <c r="A57" s="303" t="s">
        <v>1032</v>
      </c>
      <c r="E57" s="10"/>
      <c r="F57" s="1446"/>
      <c r="G57" s="1447"/>
      <c r="H57" s="1442" t="s">
        <v>93</v>
      </c>
      <c r="I57" s="1454"/>
      <c r="J57" s="1465"/>
      <c r="K57" s="1456"/>
      <c r="L57" s="1169"/>
      <c r="M57" s="1170"/>
      <c r="N57" s="1459"/>
      <c r="O57" s="1460"/>
      <c r="P57" s="1462"/>
      <c r="Q57" s="1455"/>
      <c r="R57" s="1415"/>
      <c r="S57" s="1464"/>
      <c r="T57" s="1415"/>
      <c r="U57" s="1415"/>
      <c r="V57" s="1415"/>
      <c r="W57" s="1415"/>
      <c r="X57" s="1415"/>
      <c r="Y57" s="1415"/>
      <c r="Z57" s="987"/>
      <c r="AA57" s="978">
        <v>1</v>
      </c>
      <c r="AB57" s="679" t="s">
        <v>1088</v>
      </c>
      <c r="AC57" s="380">
        <v>7112.95</v>
      </c>
      <c r="AD57" s="679" t="str">
        <f>AB57</f>
        <v xml:space="preserve">     Амортизационные отчисления за исключением переоценки основных средств и нематериальных активов</v>
      </c>
      <c r="AE57" s="380">
        <v>0</v>
      </c>
      <c r="AF57" s="1457"/>
      <c r="AG57" s="1458"/>
      <c r="AH57" s="1458"/>
      <c r="AI57" s="1457"/>
      <c r="AJ57" s="1458"/>
      <c r="AK57" s="1458"/>
      <c r="AL57" s="714"/>
      <c r="AM57" s="34"/>
      <c r="AN57" s="34"/>
      <c r="AO57" s="34"/>
      <c r="AP57" s="34"/>
      <c r="AQ57" s="34"/>
      <c r="AR57" s="34"/>
      <c r="AS57" s="34"/>
      <c r="AT57" s="34"/>
      <c r="AU57" s="34"/>
      <c r="AV57" s="34"/>
      <c r="AW57" s="34"/>
      <c r="AX57" s="34"/>
      <c r="AY57" s="34"/>
      <c r="AZ57" s="34"/>
      <c r="BA57" s="34"/>
      <c r="BB57" s="34"/>
      <c r="BC57" s="34"/>
      <c r="BD57" s="34"/>
      <c r="BE57" s="34"/>
      <c r="BF57" s="34"/>
    </row>
    <row r="58" spans="1:58" ht="11.25" customHeight="1">
      <c r="A58" s="303" t="s">
        <v>1032</v>
      </c>
      <c r="E58" s="10"/>
      <c r="F58" s="1446"/>
      <c r="G58" s="1447"/>
      <c r="H58" s="1442" t="s">
        <v>93</v>
      </c>
      <c r="I58" s="1454"/>
      <c r="J58" s="1465"/>
      <c r="K58" s="1456"/>
      <c r="L58" s="1169"/>
      <c r="M58" s="1170"/>
      <c r="N58" s="1459"/>
      <c r="O58" s="1460"/>
      <c r="P58" s="1463"/>
      <c r="Q58" s="1455"/>
      <c r="R58" s="1415"/>
      <c r="S58" s="1464"/>
      <c r="T58" s="1415"/>
      <c r="U58" s="1415"/>
      <c r="V58" s="1415"/>
      <c r="W58" s="1415"/>
      <c r="X58" s="1415"/>
      <c r="Y58" s="1415"/>
      <c r="Z58" s="675"/>
      <c r="AA58" s="676"/>
      <c r="AB58" s="110" t="s">
        <v>1078</v>
      </c>
      <c r="AC58" s="680"/>
      <c r="AD58" s="680"/>
      <c r="AE58" s="682"/>
      <c r="AF58" s="1457"/>
      <c r="AG58" s="1458"/>
      <c r="AH58" s="1458"/>
      <c r="AI58" s="1457"/>
      <c r="AJ58" s="1458"/>
      <c r="AK58" s="1458"/>
      <c r="AL58" s="714"/>
      <c r="AM58" s="34"/>
      <c r="AN58" s="34"/>
      <c r="AO58" s="34"/>
      <c r="AP58" s="34"/>
      <c r="AQ58" s="34"/>
      <c r="AR58" s="34"/>
      <c r="AS58" s="34"/>
      <c r="AT58" s="34"/>
      <c r="AU58" s="34"/>
      <c r="AV58" s="34"/>
      <c r="AW58" s="34"/>
      <c r="AX58" s="34"/>
      <c r="AY58" s="34"/>
      <c r="AZ58" s="34"/>
      <c r="BA58" s="34"/>
      <c r="BB58" s="34"/>
      <c r="BC58" s="34"/>
      <c r="BD58" s="34"/>
      <c r="BE58" s="34"/>
      <c r="BF58" s="34"/>
    </row>
    <row r="59" spans="1:58" ht="11.25" customHeight="1">
      <c r="A59" s="303" t="s">
        <v>1032</v>
      </c>
      <c r="E59" s="10"/>
      <c r="F59" s="1446"/>
      <c r="G59" s="1447"/>
      <c r="H59" s="1447"/>
      <c r="I59" s="1467"/>
      <c r="J59" s="1470"/>
      <c r="K59" s="1473"/>
      <c r="L59" s="1467"/>
      <c r="M59" s="1447"/>
      <c r="N59" s="1182" t="s">
        <v>122</v>
      </c>
      <c r="O59" s="1483" t="s">
        <v>110</v>
      </c>
      <c r="P59" s="1461" t="s">
        <v>62</v>
      </c>
      <c r="Q59" s="1455" t="s">
        <v>1096</v>
      </c>
      <c r="R59" s="1464" t="s">
        <v>1072</v>
      </c>
      <c r="S59" s="1464" t="s">
        <v>100</v>
      </c>
      <c r="T59" s="1464" t="s">
        <v>100</v>
      </c>
      <c r="U59" s="1464" t="s">
        <v>101</v>
      </c>
      <c r="V59" s="1464" t="s">
        <v>1073</v>
      </c>
      <c r="W59" s="1464" t="s">
        <v>1074</v>
      </c>
      <c r="X59" s="1464" t="s">
        <v>1075</v>
      </c>
      <c r="Y59" s="1464" t="s">
        <v>1097</v>
      </c>
      <c r="Z59" s="675"/>
      <c r="AA59" s="676"/>
      <c r="AB59" s="676"/>
      <c r="AC59" s="680"/>
      <c r="AD59" s="680"/>
      <c r="AE59" s="680"/>
      <c r="AF59" s="1474"/>
      <c r="AG59" s="1477"/>
      <c r="AH59" s="1477"/>
      <c r="AI59" s="1474"/>
      <c r="AJ59" s="1477"/>
      <c r="AK59" s="1478"/>
      <c r="AL59" s="714"/>
      <c r="AM59" s="34"/>
      <c r="AN59" s="34"/>
      <c r="AO59" s="34"/>
      <c r="AP59" s="34"/>
      <c r="AQ59" s="34"/>
      <c r="AR59" s="34"/>
      <c r="AS59" s="34"/>
      <c r="AT59" s="34"/>
      <c r="AU59" s="34"/>
      <c r="AV59" s="34"/>
      <c r="AW59" s="34"/>
      <c r="AX59" s="34"/>
      <c r="AY59" s="34"/>
      <c r="AZ59" s="34"/>
      <c r="BA59" s="34"/>
      <c r="BB59" s="34"/>
      <c r="BC59" s="34"/>
      <c r="BD59" s="34"/>
      <c r="BE59" s="34"/>
      <c r="BF59" s="34"/>
    </row>
    <row r="60" spans="1:58" ht="32.25" customHeight="1">
      <c r="A60" s="303" t="s">
        <v>1032</v>
      </c>
      <c r="E60" s="10"/>
      <c r="F60" s="1446"/>
      <c r="G60" s="1447"/>
      <c r="H60" s="1447"/>
      <c r="I60" s="1468"/>
      <c r="J60" s="1471"/>
      <c r="K60" s="1473"/>
      <c r="L60" s="1468"/>
      <c r="M60" s="1447"/>
      <c r="N60" s="1459"/>
      <c r="O60" s="1483">
        <v>1</v>
      </c>
      <c r="P60" s="1462"/>
      <c r="Q60" s="1455"/>
      <c r="R60" s="1415"/>
      <c r="S60" s="1464"/>
      <c r="T60" s="1415"/>
      <c r="U60" s="1415"/>
      <c r="V60" s="1415"/>
      <c r="W60" s="1415"/>
      <c r="X60" s="1415"/>
      <c r="Y60" s="1415"/>
      <c r="Z60" s="987"/>
      <c r="AA60" s="978">
        <v>1</v>
      </c>
      <c r="AB60" s="679" t="s">
        <v>1088</v>
      </c>
      <c r="AC60" s="380">
        <v>7112.95</v>
      </c>
      <c r="AD60" s="679" t="str">
        <f>AB60</f>
        <v xml:space="preserve">     Амортизационные отчисления за исключением переоценки основных средств и нематериальных активов</v>
      </c>
      <c r="AE60" s="421">
        <v>15891.17</v>
      </c>
      <c r="AF60" s="1475"/>
      <c r="AG60" s="1477"/>
      <c r="AH60" s="1477"/>
      <c r="AI60" s="1475"/>
      <c r="AJ60" s="1477"/>
      <c r="AK60" s="1478"/>
      <c r="AL60" s="714"/>
      <c r="AM60" s="34"/>
      <c r="AN60" s="34"/>
      <c r="AO60" s="34"/>
      <c r="AP60" s="34"/>
      <c r="AQ60" s="34"/>
      <c r="AR60" s="34"/>
      <c r="AS60" s="34"/>
      <c r="AT60" s="34"/>
      <c r="AU60" s="34"/>
      <c r="AV60" s="34"/>
      <c r="AW60" s="34"/>
      <c r="AX60" s="34"/>
      <c r="AY60" s="34"/>
      <c r="AZ60" s="34"/>
      <c r="BA60" s="34"/>
      <c r="BB60" s="34"/>
      <c r="BC60" s="34"/>
      <c r="BD60" s="34"/>
      <c r="BE60" s="34"/>
      <c r="BF60" s="34"/>
    </row>
    <row r="61" spans="1:58" ht="11.25" customHeight="1">
      <c r="A61" s="303" t="s">
        <v>1032</v>
      </c>
      <c r="E61" s="10"/>
      <c r="F61" s="1446"/>
      <c r="G61" s="1447"/>
      <c r="H61" s="1447"/>
      <c r="I61" s="1469"/>
      <c r="J61" s="1472"/>
      <c r="K61" s="1473"/>
      <c r="L61" s="1469"/>
      <c r="M61" s="1447"/>
      <c r="N61" s="1459"/>
      <c r="O61" s="1483">
        <v>1</v>
      </c>
      <c r="P61" s="1463"/>
      <c r="Q61" s="1455"/>
      <c r="R61" s="1415"/>
      <c r="S61" s="1464"/>
      <c r="T61" s="1415"/>
      <c r="U61" s="1415"/>
      <c r="V61" s="1415"/>
      <c r="W61" s="1415"/>
      <c r="X61" s="1415"/>
      <c r="Y61" s="1415"/>
      <c r="Z61" s="675"/>
      <c r="AA61" s="676"/>
      <c r="AB61" s="110" t="s">
        <v>1078</v>
      </c>
      <c r="AC61" s="680"/>
      <c r="AD61" s="680"/>
      <c r="AE61" s="680"/>
      <c r="AF61" s="1476"/>
      <c r="AG61" s="1477"/>
      <c r="AH61" s="1477"/>
      <c r="AI61" s="1476"/>
      <c r="AJ61" s="1477"/>
      <c r="AK61" s="1478"/>
      <c r="AL61" s="714"/>
      <c r="AM61" s="34"/>
      <c r="AN61" s="34"/>
      <c r="AO61" s="34"/>
      <c r="AP61" s="34"/>
      <c r="AQ61" s="34"/>
      <c r="AR61" s="34"/>
      <c r="AS61" s="34"/>
      <c r="AT61" s="34"/>
      <c r="AU61" s="34"/>
      <c r="AV61" s="34"/>
      <c r="AW61" s="34"/>
      <c r="AX61" s="34"/>
      <c r="AY61" s="34"/>
      <c r="AZ61" s="34"/>
      <c r="BA61" s="34"/>
      <c r="BB61" s="34"/>
      <c r="BC61" s="34"/>
      <c r="BD61" s="34"/>
      <c r="BE61" s="34"/>
      <c r="BF61" s="34"/>
    </row>
    <row r="62" spans="1:58" ht="11.25" customHeight="1">
      <c r="A62" s="303" t="s">
        <v>1032</v>
      </c>
      <c r="E62" s="10"/>
      <c r="F62" s="1446"/>
      <c r="G62" s="1447"/>
      <c r="H62" s="1447"/>
      <c r="I62" s="1467"/>
      <c r="J62" s="1470"/>
      <c r="K62" s="1473"/>
      <c r="L62" s="1467"/>
      <c r="M62" s="1447"/>
      <c r="N62" s="1182" t="s">
        <v>122</v>
      </c>
      <c r="O62" s="1483" t="s">
        <v>90</v>
      </c>
      <c r="P62" s="1461" t="s">
        <v>62</v>
      </c>
      <c r="Q62" s="1455" t="s">
        <v>1085</v>
      </c>
      <c r="R62" s="1464" t="s">
        <v>1072</v>
      </c>
      <c r="S62" s="1464" t="s">
        <v>100</v>
      </c>
      <c r="T62" s="1464" t="s">
        <v>100</v>
      </c>
      <c r="U62" s="1464" t="s">
        <v>101</v>
      </c>
      <c r="V62" s="1464" t="s">
        <v>1073</v>
      </c>
      <c r="W62" s="1464" t="s">
        <v>1074</v>
      </c>
      <c r="X62" s="1464" t="s">
        <v>1086</v>
      </c>
      <c r="Y62" s="1464" t="s">
        <v>1087</v>
      </c>
      <c r="Z62" s="675"/>
      <c r="AA62" s="676"/>
      <c r="AB62" s="676"/>
      <c r="AC62" s="680"/>
      <c r="AD62" s="680"/>
      <c r="AE62" s="680"/>
      <c r="AF62" s="1474"/>
      <c r="AG62" s="1477"/>
      <c r="AH62" s="1477"/>
      <c r="AI62" s="1474"/>
      <c r="AJ62" s="1477"/>
      <c r="AK62" s="1478"/>
      <c r="AL62" s="714"/>
      <c r="AM62" s="34"/>
      <c r="AN62" s="34"/>
      <c r="AO62" s="34"/>
      <c r="AP62" s="34"/>
      <c r="AQ62" s="34"/>
      <c r="AR62" s="34"/>
      <c r="AS62" s="34"/>
      <c r="AT62" s="34"/>
      <c r="AU62" s="34"/>
      <c r="AV62" s="34"/>
      <c r="AW62" s="34"/>
      <c r="AX62" s="34"/>
      <c r="AY62" s="34"/>
      <c r="AZ62" s="34"/>
      <c r="BA62" s="34"/>
      <c r="BB62" s="34"/>
      <c r="BC62" s="34"/>
      <c r="BD62" s="34"/>
      <c r="BE62" s="34"/>
      <c r="BF62" s="34"/>
    </row>
    <row r="63" spans="1:58" ht="32.25" customHeight="1">
      <c r="A63" s="303" t="s">
        <v>1032</v>
      </c>
      <c r="E63" s="10"/>
      <c r="F63" s="1446"/>
      <c r="G63" s="1447"/>
      <c r="H63" s="1447"/>
      <c r="I63" s="1468"/>
      <c r="J63" s="1471"/>
      <c r="K63" s="1473"/>
      <c r="L63" s="1468"/>
      <c r="M63" s="1447"/>
      <c r="N63" s="1459"/>
      <c r="O63" s="1483" t="s">
        <v>110</v>
      </c>
      <c r="P63" s="1462"/>
      <c r="Q63" s="1455"/>
      <c r="R63" s="1415"/>
      <c r="S63" s="1464"/>
      <c r="T63" s="1415"/>
      <c r="U63" s="1415"/>
      <c r="V63" s="1415"/>
      <c r="W63" s="1415"/>
      <c r="X63" s="1415"/>
      <c r="Y63" s="1415"/>
      <c r="Z63" s="987"/>
      <c r="AA63" s="978">
        <v>1</v>
      </c>
      <c r="AB63" s="679" t="s">
        <v>1088</v>
      </c>
      <c r="AC63" s="380">
        <v>7112.96</v>
      </c>
      <c r="AD63" s="679" t="str">
        <f>AB63</f>
        <v xml:space="preserve">     Амортизационные отчисления за исключением переоценки основных средств и нематериальных активов</v>
      </c>
      <c r="AE63" s="421">
        <v>0</v>
      </c>
      <c r="AF63" s="1475"/>
      <c r="AG63" s="1477"/>
      <c r="AH63" s="1477"/>
      <c r="AI63" s="1475"/>
      <c r="AJ63" s="1477"/>
      <c r="AK63" s="1478"/>
      <c r="AL63" s="714"/>
      <c r="AM63" s="34"/>
      <c r="AN63" s="34"/>
      <c r="AO63" s="34"/>
      <c r="AP63" s="34"/>
      <c r="AQ63" s="34"/>
      <c r="AR63" s="34"/>
      <c r="AS63" s="34"/>
      <c r="AT63" s="34"/>
      <c r="AU63" s="34"/>
      <c r="AV63" s="34"/>
      <c r="AW63" s="34"/>
      <c r="AX63" s="34"/>
      <c r="AY63" s="34"/>
      <c r="AZ63" s="34"/>
      <c r="BA63" s="34"/>
      <c r="BB63" s="34"/>
      <c r="BC63" s="34"/>
      <c r="BD63" s="34"/>
      <c r="BE63" s="34"/>
      <c r="BF63" s="34"/>
    </row>
    <row r="64" spans="1:58" ht="11.25" customHeight="1">
      <c r="A64" s="303" t="s">
        <v>1032</v>
      </c>
      <c r="E64" s="10"/>
      <c r="F64" s="1446"/>
      <c r="G64" s="1447"/>
      <c r="H64" s="1447"/>
      <c r="I64" s="1469"/>
      <c r="J64" s="1472"/>
      <c r="K64" s="1473"/>
      <c r="L64" s="1469"/>
      <c r="M64" s="1447"/>
      <c r="N64" s="1459"/>
      <c r="O64" s="1483" t="s">
        <v>110</v>
      </c>
      <c r="P64" s="1463"/>
      <c r="Q64" s="1455"/>
      <c r="R64" s="1415"/>
      <c r="S64" s="1464"/>
      <c r="T64" s="1415"/>
      <c r="U64" s="1415"/>
      <c r="V64" s="1415"/>
      <c r="W64" s="1415"/>
      <c r="X64" s="1415"/>
      <c r="Y64" s="1415"/>
      <c r="Z64" s="675"/>
      <c r="AA64" s="676"/>
      <c r="AB64" s="110" t="s">
        <v>1078</v>
      </c>
      <c r="AC64" s="680"/>
      <c r="AD64" s="680"/>
      <c r="AE64" s="680"/>
      <c r="AF64" s="1476"/>
      <c r="AG64" s="1477"/>
      <c r="AH64" s="1477"/>
      <c r="AI64" s="1476"/>
      <c r="AJ64" s="1477"/>
      <c r="AK64" s="1478"/>
      <c r="AL64" s="714"/>
      <c r="AM64" s="34"/>
      <c r="AN64" s="34"/>
      <c r="AO64" s="34"/>
      <c r="AP64" s="34"/>
      <c r="AQ64" s="34"/>
      <c r="AR64" s="34"/>
      <c r="AS64" s="34"/>
      <c r="AT64" s="34"/>
      <c r="AU64" s="34"/>
      <c r="AV64" s="34"/>
      <c r="AW64" s="34"/>
      <c r="AX64" s="34"/>
      <c r="AY64" s="34"/>
      <c r="AZ64" s="34"/>
      <c r="BA64" s="34"/>
      <c r="BB64" s="34"/>
      <c r="BC64" s="34"/>
      <c r="BD64" s="34"/>
      <c r="BE64" s="34"/>
      <c r="BF64" s="34"/>
    </row>
    <row r="65" spans="1:58" ht="11.25" customHeight="1">
      <c r="A65" s="303" t="s">
        <v>1032</v>
      </c>
      <c r="E65" s="10"/>
      <c r="F65" s="1446"/>
      <c r="G65" s="1447"/>
      <c r="H65" s="1442" t="s">
        <v>93</v>
      </c>
      <c r="I65" s="1454"/>
      <c r="J65" s="1465"/>
      <c r="K65" s="1456"/>
      <c r="L65" s="1169"/>
      <c r="M65" s="1170"/>
      <c r="N65" s="675"/>
      <c r="O65" s="676"/>
      <c r="P65" s="110" t="s">
        <v>1079</v>
      </c>
      <c r="Q65" s="676"/>
      <c r="R65" s="676"/>
      <c r="S65" s="676"/>
      <c r="T65" s="676"/>
      <c r="U65" s="676"/>
      <c r="V65" s="676"/>
      <c r="W65" s="676"/>
      <c r="X65" s="676"/>
      <c r="Y65" s="676"/>
      <c r="Z65" s="676"/>
      <c r="AA65" s="676"/>
      <c r="AB65" s="676"/>
      <c r="AC65" s="676"/>
      <c r="AD65" s="676"/>
      <c r="AE65" s="683"/>
      <c r="AF65" s="1457"/>
      <c r="AG65" s="1458"/>
      <c r="AH65" s="1458"/>
      <c r="AI65" s="1457"/>
      <c r="AJ65" s="1458"/>
      <c r="AK65" s="1458"/>
      <c r="AL65" s="714"/>
      <c r="AM65" s="34"/>
      <c r="AN65" s="34"/>
      <c r="AO65" s="34"/>
      <c r="AP65" s="34"/>
      <c r="AQ65" s="34"/>
      <c r="AR65" s="34"/>
      <c r="AS65" s="34"/>
      <c r="AT65" s="34"/>
      <c r="AU65" s="34"/>
      <c r="AV65" s="34"/>
      <c r="AW65" s="34"/>
      <c r="AX65" s="34"/>
      <c r="AY65" s="34"/>
      <c r="AZ65" s="34"/>
      <c r="BA65" s="34"/>
      <c r="BB65" s="34"/>
      <c r="BC65" s="34"/>
      <c r="BD65" s="34"/>
      <c r="BE65" s="34"/>
      <c r="BF65" s="34"/>
    </row>
    <row r="66" spans="1:58" ht="11.25" customHeight="1">
      <c r="A66" s="303" t="s">
        <v>1032</v>
      </c>
      <c r="B66" s="303" t="s">
        <v>22</v>
      </c>
      <c r="E66" s="10"/>
      <c r="F66" s="1446"/>
      <c r="G66" s="1182" t="s">
        <v>122</v>
      </c>
      <c r="H66" s="1442" t="s">
        <v>156</v>
      </c>
      <c r="I66" s="1454" t="s">
        <v>1082</v>
      </c>
      <c r="J66" s="1465" t="s">
        <v>22</v>
      </c>
      <c r="K66" s="1456" t="s">
        <v>1098</v>
      </c>
      <c r="L66" s="1169" t="s">
        <v>19</v>
      </c>
      <c r="M66" s="1170"/>
      <c r="N66" s="1053"/>
      <c r="O66" s="677" t="s">
        <v>382</v>
      </c>
      <c r="P66" s="678"/>
      <c r="Q66" s="678"/>
      <c r="R66" s="678"/>
      <c r="S66" s="678"/>
      <c r="T66" s="678"/>
      <c r="U66" s="678"/>
      <c r="V66" s="678"/>
      <c r="W66" s="678"/>
      <c r="X66" s="678"/>
      <c r="Y66" s="678"/>
      <c r="Z66" s="678"/>
      <c r="AA66" s="678"/>
      <c r="AB66" s="678"/>
      <c r="AC66" s="678"/>
      <c r="AD66" s="678"/>
      <c r="AE66" s="678"/>
      <c r="AF66" s="1457">
        <v>2023</v>
      </c>
      <c r="AG66" s="1458" t="s">
        <v>1070</v>
      </c>
      <c r="AH66" s="1458" t="s">
        <v>1069</v>
      </c>
      <c r="AI66" s="1457">
        <v>2023</v>
      </c>
      <c r="AJ66" s="1458" t="s">
        <v>1070</v>
      </c>
      <c r="AK66" s="1458" t="s">
        <v>1069</v>
      </c>
      <c r="AL66" s="714"/>
      <c r="AM66" s="34"/>
      <c r="AN66" s="34"/>
      <c r="AO66" s="34"/>
      <c r="AP66" s="34"/>
      <c r="AQ66" s="34"/>
      <c r="AR66" s="34"/>
      <c r="AS66" s="34"/>
      <c r="AT66" s="34"/>
      <c r="AU66" s="34"/>
      <c r="AV66" s="34"/>
      <c r="AW66" s="34"/>
      <c r="AX66" s="34"/>
      <c r="AY66" s="34"/>
      <c r="AZ66" s="34"/>
      <c r="BA66" s="34"/>
      <c r="BB66" s="34"/>
      <c r="BC66" s="34"/>
      <c r="BD66" s="34"/>
      <c r="BE66" s="34"/>
      <c r="BF66" s="34"/>
    </row>
    <row r="67" spans="1:58" ht="10.5" customHeight="1">
      <c r="A67" s="303" t="s">
        <v>1032</v>
      </c>
      <c r="E67" s="10"/>
      <c r="F67" s="1446"/>
      <c r="G67" s="1447"/>
      <c r="H67" s="1442" t="s">
        <v>112</v>
      </c>
      <c r="I67" s="1454"/>
      <c r="J67" s="1465"/>
      <c r="K67" s="1456"/>
      <c r="L67" s="1169"/>
      <c r="M67" s="1170"/>
      <c r="N67" s="1459"/>
      <c r="O67" s="1460">
        <v>1</v>
      </c>
      <c r="P67" s="1461" t="s">
        <v>62</v>
      </c>
      <c r="Q67" s="1455" t="s">
        <v>1071</v>
      </c>
      <c r="R67" s="1464" t="s">
        <v>1072</v>
      </c>
      <c r="S67" s="1464" t="s">
        <v>100</v>
      </c>
      <c r="T67" s="1464" t="s">
        <v>100</v>
      </c>
      <c r="U67" s="1464" t="s">
        <v>101</v>
      </c>
      <c r="V67" s="1464" t="s">
        <v>1073</v>
      </c>
      <c r="W67" s="1464" t="s">
        <v>1074</v>
      </c>
      <c r="X67" s="1464" t="s">
        <v>1075</v>
      </c>
      <c r="Y67" s="1464" t="s">
        <v>1076</v>
      </c>
      <c r="Z67" s="675"/>
      <c r="AA67" s="676"/>
      <c r="AB67" s="676"/>
      <c r="AC67" s="680"/>
      <c r="AD67" s="680"/>
      <c r="AE67" s="681"/>
      <c r="AF67" s="1457"/>
      <c r="AG67" s="1458"/>
      <c r="AH67" s="1458"/>
      <c r="AI67" s="1457"/>
      <c r="AJ67" s="1458"/>
      <c r="AK67" s="1458"/>
      <c r="AL67" s="714"/>
      <c r="AM67" s="34"/>
      <c r="AN67" s="34"/>
      <c r="AO67" s="34"/>
      <c r="AP67" s="34"/>
      <c r="AQ67" s="34"/>
      <c r="AR67" s="34"/>
      <c r="AS67" s="34"/>
      <c r="AT67" s="34"/>
      <c r="AU67" s="34"/>
      <c r="AV67" s="34"/>
      <c r="AW67" s="34"/>
      <c r="AX67" s="34"/>
      <c r="AY67" s="34"/>
      <c r="AZ67" s="34"/>
      <c r="BA67" s="34"/>
      <c r="BB67" s="34"/>
      <c r="BC67" s="34"/>
      <c r="BD67" s="34"/>
      <c r="BE67" s="34"/>
      <c r="BF67" s="34"/>
    </row>
    <row r="68" spans="1:58" ht="32.25" customHeight="1">
      <c r="A68" s="303" t="s">
        <v>1032</v>
      </c>
      <c r="E68" s="10"/>
      <c r="F68" s="1446"/>
      <c r="G68" s="1447"/>
      <c r="H68" s="1442" t="s">
        <v>112</v>
      </c>
      <c r="I68" s="1454"/>
      <c r="J68" s="1465"/>
      <c r="K68" s="1456"/>
      <c r="L68" s="1169"/>
      <c r="M68" s="1170"/>
      <c r="N68" s="1459"/>
      <c r="O68" s="1460"/>
      <c r="P68" s="1462"/>
      <c r="Q68" s="1455"/>
      <c r="R68" s="1415"/>
      <c r="S68" s="1464"/>
      <c r="T68" s="1415"/>
      <c r="U68" s="1415"/>
      <c r="V68" s="1415"/>
      <c r="W68" s="1415"/>
      <c r="X68" s="1415"/>
      <c r="Y68" s="1415"/>
      <c r="Z68" s="987"/>
      <c r="AA68" s="978">
        <v>1</v>
      </c>
      <c r="AB68" s="679" t="s">
        <v>1088</v>
      </c>
      <c r="AC68" s="380">
        <v>25385.01</v>
      </c>
      <c r="AD68" s="679" t="str">
        <f>AB68</f>
        <v xml:space="preserve">     Амортизационные отчисления за исключением переоценки основных средств и нематериальных активов</v>
      </c>
      <c r="AE68" s="380">
        <v>25385.01</v>
      </c>
      <c r="AF68" s="1457"/>
      <c r="AG68" s="1458"/>
      <c r="AH68" s="1458"/>
      <c r="AI68" s="1457"/>
      <c r="AJ68" s="1458"/>
      <c r="AK68" s="1458"/>
      <c r="AL68" s="714"/>
      <c r="AM68" s="34"/>
      <c r="AN68" s="34"/>
      <c r="AO68" s="34"/>
      <c r="AP68" s="34"/>
      <c r="AQ68" s="34"/>
      <c r="AR68" s="34"/>
      <c r="AS68" s="34"/>
      <c r="AT68" s="34"/>
      <c r="AU68" s="34"/>
      <c r="AV68" s="34"/>
      <c r="AW68" s="34"/>
      <c r="AX68" s="34"/>
      <c r="AY68" s="34"/>
      <c r="AZ68" s="34"/>
      <c r="BA68" s="34"/>
      <c r="BB68" s="34"/>
      <c r="BC68" s="34"/>
      <c r="BD68" s="34"/>
      <c r="BE68" s="34"/>
      <c r="BF68" s="34"/>
    </row>
    <row r="69" spans="1:58" ht="11.25" customHeight="1">
      <c r="A69" s="303" t="s">
        <v>1032</v>
      </c>
      <c r="E69" s="10"/>
      <c r="F69" s="1446"/>
      <c r="G69" s="1447"/>
      <c r="H69" s="1442" t="s">
        <v>112</v>
      </c>
      <c r="I69" s="1454"/>
      <c r="J69" s="1465"/>
      <c r="K69" s="1456"/>
      <c r="L69" s="1169"/>
      <c r="M69" s="1170"/>
      <c r="N69" s="1459"/>
      <c r="O69" s="1460"/>
      <c r="P69" s="1463"/>
      <c r="Q69" s="1455"/>
      <c r="R69" s="1415"/>
      <c r="S69" s="1464"/>
      <c r="T69" s="1415"/>
      <c r="U69" s="1415"/>
      <c r="V69" s="1415"/>
      <c r="W69" s="1415"/>
      <c r="X69" s="1415"/>
      <c r="Y69" s="1415"/>
      <c r="Z69" s="675"/>
      <c r="AA69" s="676"/>
      <c r="AB69" s="110" t="s">
        <v>1078</v>
      </c>
      <c r="AC69" s="680"/>
      <c r="AD69" s="680"/>
      <c r="AE69" s="682"/>
      <c r="AF69" s="1457"/>
      <c r="AG69" s="1458"/>
      <c r="AH69" s="1458"/>
      <c r="AI69" s="1457"/>
      <c r="AJ69" s="1458"/>
      <c r="AK69" s="1458"/>
      <c r="AL69" s="714"/>
      <c r="AM69" s="34"/>
      <c r="AN69" s="34"/>
      <c r="AO69" s="34"/>
      <c r="AP69" s="34"/>
      <c r="AQ69" s="34"/>
      <c r="AR69" s="34"/>
      <c r="AS69" s="34"/>
      <c r="AT69" s="34"/>
      <c r="AU69" s="34"/>
      <c r="AV69" s="34"/>
      <c r="AW69" s="34"/>
      <c r="AX69" s="34"/>
      <c r="AY69" s="34"/>
      <c r="AZ69" s="34"/>
      <c r="BA69" s="34"/>
      <c r="BB69" s="34"/>
      <c r="BC69" s="34"/>
      <c r="BD69" s="34"/>
      <c r="BE69" s="34"/>
      <c r="BF69" s="34"/>
    </row>
    <row r="70" spans="1:58" ht="11.25" customHeight="1">
      <c r="A70" s="303" t="s">
        <v>1032</v>
      </c>
      <c r="E70" s="10"/>
      <c r="F70" s="1446"/>
      <c r="G70" s="1447"/>
      <c r="H70" s="1442" t="s">
        <v>112</v>
      </c>
      <c r="I70" s="1454"/>
      <c r="J70" s="1465"/>
      <c r="K70" s="1456"/>
      <c r="L70" s="1169"/>
      <c r="M70" s="1170"/>
      <c r="N70" s="675"/>
      <c r="O70" s="676"/>
      <c r="P70" s="110" t="s">
        <v>1079</v>
      </c>
      <c r="Q70" s="676"/>
      <c r="R70" s="676"/>
      <c r="S70" s="676"/>
      <c r="T70" s="676"/>
      <c r="U70" s="676"/>
      <c r="V70" s="676"/>
      <c r="W70" s="676"/>
      <c r="X70" s="676"/>
      <c r="Y70" s="676"/>
      <c r="Z70" s="676"/>
      <c r="AA70" s="676"/>
      <c r="AB70" s="676"/>
      <c r="AC70" s="676"/>
      <c r="AD70" s="676"/>
      <c r="AE70" s="683"/>
      <c r="AF70" s="1457"/>
      <c r="AG70" s="1458"/>
      <c r="AH70" s="1458"/>
      <c r="AI70" s="1457"/>
      <c r="AJ70" s="1458"/>
      <c r="AK70" s="1458"/>
      <c r="AL70" s="714"/>
      <c r="AM70" s="34"/>
      <c r="AN70" s="34"/>
      <c r="AO70" s="34"/>
      <c r="AP70" s="34"/>
      <c r="AQ70" s="34"/>
      <c r="AR70" s="34"/>
      <c r="AS70" s="34"/>
      <c r="AT70" s="34"/>
      <c r="AU70" s="34"/>
      <c r="AV70" s="34"/>
      <c r="AW70" s="34"/>
      <c r="AX70" s="34"/>
      <c r="AY70" s="34"/>
      <c r="AZ70" s="34"/>
      <c r="BA70" s="34"/>
      <c r="BB70" s="34"/>
      <c r="BC70" s="34"/>
      <c r="BD70" s="34"/>
      <c r="BE70" s="34"/>
      <c r="BF70" s="34"/>
    </row>
    <row r="71" spans="1:58" ht="11.25" customHeight="1">
      <c r="A71" s="303" t="s">
        <v>1032</v>
      </c>
      <c r="B71" s="303" t="s">
        <v>22</v>
      </c>
      <c r="E71" s="10"/>
      <c r="F71" s="1446"/>
      <c r="G71" s="1182" t="s">
        <v>122</v>
      </c>
      <c r="H71" s="1442" t="s">
        <v>157</v>
      </c>
      <c r="I71" s="1454" t="s">
        <v>1082</v>
      </c>
      <c r="J71" s="1465" t="s">
        <v>22</v>
      </c>
      <c r="K71" s="1456" t="s">
        <v>1099</v>
      </c>
      <c r="L71" s="1169" t="s">
        <v>19</v>
      </c>
      <c r="M71" s="1170"/>
      <c r="N71" s="1053"/>
      <c r="O71" s="677" t="s">
        <v>382</v>
      </c>
      <c r="P71" s="678"/>
      <c r="Q71" s="678"/>
      <c r="R71" s="678"/>
      <c r="S71" s="678"/>
      <c r="T71" s="678"/>
      <c r="U71" s="678"/>
      <c r="V71" s="678"/>
      <c r="W71" s="678"/>
      <c r="X71" s="678"/>
      <c r="Y71" s="678"/>
      <c r="Z71" s="678"/>
      <c r="AA71" s="678"/>
      <c r="AB71" s="678"/>
      <c r="AC71" s="678"/>
      <c r="AD71" s="678"/>
      <c r="AE71" s="678"/>
      <c r="AF71" s="1457">
        <v>2023</v>
      </c>
      <c r="AG71" s="1458" t="s">
        <v>1070</v>
      </c>
      <c r="AH71" s="1458" t="s">
        <v>1069</v>
      </c>
      <c r="AI71" s="1457">
        <v>2023</v>
      </c>
      <c r="AJ71" s="1458" t="s">
        <v>1070</v>
      </c>
      <c r="AK71" s="1458" t="s">
        <v>1069</v>
      </c>
      <c r="AL71" s="714"/>
      <c r="AM71" s="34"/>
      <c r="AN71" s="34"/>
      <c r="AO71" s="34"/>
      <c r="AP71" s="34"/>
      <c r="AQ71" s="34"/>
      <c r="AR71" s="34"/>
      <c r="AS71" s="34"/>
      <c r="AT71" s="34"/>
      <c r="AU71" s="34"/>
      <c r="AV71" s="34"/>
      <c r="AW71" s="34"/>
      <c r="AX71" s="34"/>
      <c r="AY71" s="34"/>
      <c r="AZ71" s="34"/>
      <c r="BA71" s="34"/>
      <c r="BB71" s="34"/>
      <c r="BC71" s="34"/>
      <c r="BD71" s="34"/>
      <c r="BE71" s="34"/>
      <c r="BF71" s="34"/>
    </row>
    <row r="72" spans="1:58" ht="11.25" customHeight="1">
      <c r="A72" s="303" t="s">
        <v>1032</v>
      </c>
      <c r="E72" s="10"/>
      <c r="F72" s="1446"/>
      <c r="G72" s="1447"/>
      <c r="H72" s="1442" t="s">
        <v>156</v>
      </c>
      <c r="I72" s="1454"/>
      <c r="J72" s="1465"/>
      <c r="K72" s="1456"/>
      <c r="L72" s="1169"/>
      <c r="M72" s="1170"/>
      <c r="N72" s="1459"/>
      <c r="O72" s="1460">
        <v>1</v>
      </c>
      <c r="P72" s="1461" t="s">
        <v>62</v>
      </c>
      <c r="Q72" s="1455" t="s">
        <v>1071</v>
      </c>
      <c r="R72" s="1464" t="s">
        <v>1072</v>
      </c>
      <c r="S72" s="1464" t="s">
        <v>100</v>
      </c>
      <c r="T72" s="1464" t="s">
        <v>100</v>
      </c>
      <c r="U72" s="1464" t="s">
        <v>101</v>
      </c>
      <c r="V72" s="1464" t="s">
        <v>1073</v>
      </c>
      <c r="W72" s="1464" t="s">
        <v>1074</v>
      </c>
      <c r="X72" s="1464" t="s">
        <v>1075</v>
      </c>
      <c r="Y72" s="1464" t="s">
        <v>1076</v>
      </c>
      <c r="Z72" s="675"/>
      <c r="AA72" s="676"/>
      <c r="AB72" s="676"/>
      <c r="AC72" s="680"/>
      <c r="AD72" s="680"/>
      <c r="AE72" s="681"/>
      <c r="AF72" s="1457"/>
      <c r="AG72" s="1458"/>
      <c r="AH72" s="1458"/>
      <c r="AI72" s="1457"/>
      <c r="AJ72" s="1458"/>
      <c r="AK72" s="1458"/>
      <c r="AL72" s="714"/>
      <c r="AM72" s="34"/>
      <c r="AN72" s="34"/>
      <c r="AO72" s="34"/>
      <c r="AP72" s="34"/>
      <c r="AQ72" s="34"/>
      <c r="AR72" s="34"/>
      <c r="AS72" s="34"/>
      <c r="AT72" s="34"/>
      <c r="AU72" s="34"/>
      <c r="AV72" s="34"/>
      <c r="AW72" s="34"/>
      <c r="AX72" s="34"/>
      <c r="AY72" s="34"/>
      <c r="AZ72" s="34"/>
      <c r="BA72" s="34"/>
      <c r="BB72" s="34"/>
      <c r="BC72" s="34"/>
      <c r="BD72" s="34"/>
      <c r="BE72" s="34"/>
      <c r="BF72" s="34"/>
    </row>
    <row r="73" spans="1:58" ht="32.25" customHeight="1">
      <c r="A73" s="303" t="s">
        <v>1032</v>
      </c>
      <c r="E73" s="10"/>
      <c r="F73" s="1446"/>
      <c r="G73" s="1447"/>
      <c r="H73" s="1442" t="s">
        <v>156</v>
      </c>
      <c r="I73" s="1454"/>
      <c r="J73" s="1465"/>
      <c r="K73" s="1456"/>
      <c r="L73" s="1169"/>
      <c r="M73" s="1170"/>
      <c r="N73" s="1459"/>
      <c r="O73" s="1460"/>
      <c r="P73" s="1462"/>
      <c r="Q73" s="1455"/>
      <c r="R73" s="1415"/>
      <c r="S73" s="1464"/>
      <c r="T73" s="1415"/>
      <c r="U73" s="1415"/>
      <c r="V73" s="1415"/>
      <c r="W73" s="1415"/>
      <c r="X73" s="1415"/>
      <c r="Y73" s="1415"/>
      <c r="Z73" s="987"/>
      <c r="AA73" s="978">
        <v>1</v>
      </c>
      <c r="AB73" s="679" t="s">
        <v>1094</v>
      </c>
      <c r="AC73" s="380">
        <v>14532.35</v>
      </c>
      <c r="AD73" s="679" t="s">
        <v>1088</v>
      </c>
      <c r="AE73" s="380">
        <v>14532.35</v>
      </c>
      <c r="AF73" s="1457"/>
      <c r="AG73" s="1458"/>
      <c r="AH73" s="1458"/>
      <c r="AI73" s="1457"/>
      <c r="AJ73" s="1458"/>
      <c r="AK73" s="1458"/>
      <c r="AL73" s="714"/>
      <c r="AM73" s="34"/>
      <c r="AN73" s="34"/>
      <c r="AO73" s="34"/>
      <c r="AP73" s="34"/>
      <c r="AQ73" s="34"/>
      <c r="AR73" s="34"/>
      <c r="AS73" s="34"/>
      <c r="AT73" s="34"/>
      <c r="AU73" s="34"/>
      <c r="AV73" s="34"/>
      <c r="AW73" s="34"/>
      <c r="AX73" s="34"/>
      <c r="AY73" s="34"/>
      <c r="AZ73" s="34"/>
      <c r="BA73" s="34"/>
      <c r="BB73" s="34"/>
      <c r="BC73" s="34"/>
      <c r="BD73" s="34"/>
      <c r="BE73" s="34"/>
      <c r="BF73" s="34"/>
    </row>
    <row r="74" spans="1:58" ht="11.25" customHeight="1">
      <c r="A74" s="303" t="s">
        <v>1032</v>
      </c>
      <c r="E74" s="10"/>
      <c r="F74" s="1446"/>
      <c r="G74" s="1447"/>
      <c r="H74" s="1442" t="s">
        <v>156</v>
      </c>
      <c r="I74" s="1454"/>
      <c r="J74" s="1465"/>
      <c r="K74" s="1456"/>
      <c r="L74" s="1169"/>
      <c r="M74" s="1170"/>
      <c r="N74" s="1459"/>
      <c r="O74" s="1460"/>
      <c r="P74" s="1463"/>
      <c r="Q74" s="1455"/>
      <c r="R74" s="1415"/>
      <c r="S74" s="1464"/>
      <c r="T74" s="1415"/>
      <c r="U74" s="1415"/>
      <c r="V74" s="1415"/>
      <c r="W74" s="1415"/>
      <c r="X74" s="1415"/>
      <c r="Y74" s="1415"/>
      <c r="Z74" s="675"/>
      <c r="AA74" s="676"/>
      <c r="AB74" s="110" t="s">
        <v>1078</v>
      </c>
      <c r="AC74" s="680"/>
      <c r="AD74" s="680"/>
      <c r="AE74" s="682"/>
      <c r="AF74" s="1457"/>
      <c r="AG74" s="1458"/>
      <c r="AH74" s="1458"/>
      <c r="AI74" s="1457"/>
      <c r="AJ74" s="1458"/>
      <c r="AK74" s="1458"/>
      <c r="AL74" s="714"/>
      <c r="AM74" s="34"/>
      <c r="AN74" s="34"/>
      <c r="AO74" s="34"/>
      <c r="AP74" s="34"/>
      <c r="AQ74" s="34"/>
      <c r="AR74" s="34"/>
      <c r="AS74" s="34"/>
      <c r="AT74" s="34"/>
      <c r="AU74" s="34"/>
      <c r="AV74" s="34"/>
      <c r="AW74" s="34"/>
      <c r="AX74" s="34"/>
      <c r="AY74" s="34"/>
      <c r="AZ74" s="34"/>
      <c r="BA74" s="34"/>
      <c r="BB74" s="34"/>
      <c r="BC74" s="34"/>
      <c r="BD74" s="34"/>
      <c r="BE74" s="34"/>
      <c r="BF74" s="34"/>
    </row>
    <row r="75" spans="1:58" ht="11.25" customHeight="1">
      <c r="A75" s="303" t="s">
        <v>1032</v>
      </c>
      <c r="E75" s="10"/>
      <c r="F75" s="1446"/>
      <c r="G75" s="1447"/>
      <c r="H75" s="1442" t="s">
        <v>156</v>
      </c>
      <c r="I75" s="1454"/>
      <c r="J75" s="1465"/>
      <c r="K75" s="1456"/>
      <c r="L75" s="1169"/>
      <c r="M75" s="1170"/>
      <c r="N75" s="675"/>
      <c r="O75" s="676"/>
      <c r="P75" s="110" t="s">
        <v>1079</v>
      </c>
      <c r="Q75" s="676"/>
      <c r="R75" s="676"/>
      <c r="S75" s="676"/>
      <c r="T75" s="676"/>
      <c r="U75" s="676"/>
      <c r="V75" s="676"/>
      <c r="W75" s="676"/>
      <c r="X75" s="676"/>
      <c r="Y75" s="676"/>
      <c r="Z75" s="676"/>
      <c r="AA75" s="676"/>
      <c r="AB75" s="676"/>
      <c r="AC75" s="676"/>
      <c r="AD75" s="676"/>
      <c r="AE75" s="683"/>
      <c r="AF75" s="1457"/>
      <c r="AG75" s="1458"/>
      <c r="AH75" s="1458"/>
      <c r="AI75" s="1457"/>
      <c r="AJ75" s="1458"/>
      <c r="AK75" s="1458"/>
      <c r="AL75" s="714"/>
      <c r="AM75" s="34"/>
      <c r="AN75" s="34"/>
      <c r="AO75" s="34"/>
      <c r="AP75" s="34"/>
      <c r="AQ75" s="34"/>
      <c r="AR75" s="34"/>
      <c r="AS75" s="34"/>
      <c r="AT75" s="34"/>
      <c r="AU75" s="34"/>
      <c r="AV75" s="34"/>
      <c r="AW75" s="34"/>
      <c r="AX75" s="34"/>
      <c r="AY75" s="34"/>
      <c r="AZ75" s="34"/>
      <c r="BA75" s="34"/>
      <c r="BB75" s="34"/>
      <c r="BC75" s="34"/>
      <c r="BD75" s="34"/>
      <c r="BE75" s="34"/>
      <c r="BF75" s="34"/>
    </row>
    <row r="76" spans="1:58" ht="11.25" customHeight="1">
      <c r="A76" s="303" t="s">
        <v>1032</v>
      </c>
      <c r="B76" s="303" t="s">
        <v>1100</v>
      </c>
      <c r="E76" s="10"/>
      <c r="F76" s="1446"/>
      <c r="G76" s="1182" t="s">
        <v>122</v>
      </c>
      <c r="H76" s="1442" t="s">
        <v>158</v>
      </c>
      <c r="I76" s="1454" t="s">
        <v>1101</v>
      </c>
      <c r="J76" s="1455" t="s">
        <v>1102</v>
      </c>
      <c r="K76" s="1456" t="s">
        <v>1103</v>
      </c>
      <c r="L76" s="1169" t="s">
        <v>19</v>
      </c>
      <c r="M76" s="1170"/>
      <c r="N76" s="1053"/>
      <c r="O76" s="677" t="s">
        <v>382</v>
      </c>
      <c r="P76" s="678"/>
      <c r="Q76" s="678"/>
      <c r="R76" s="678"/>
      <c r="S76" s="678"/>
      <c r="T76" s="678"/>
      <c r="U76" s="678"/>
      <c r="V76" s="678"/>
      <c r="W76" s="678"/>
      <c r="X76" s="678"/>
      <c r="Y76" s="678"/>
      <c r="Z76" s="678"/>
      <c r="AA76" s="678"/>
      <c r="AB76" s="678"/>
      <c r="AC76" s="678"/>
      <c r="AD76" s="678"/>
      <c r="AE76" s="678"/>
      <c r="AF76" s="1457">
        <v>2023</v>
      </c>
      <c r="AG76" s="1458" t="s">
        <v>1081</v>
      </c>
      <c r="AH76" s="1458" t="s">
        <v>1069</v>
      </c>
      <c r="AI76" s="1457">
        <v>2023</v>
      </c>
      <c r="AJ76" s="1458" t="s">
        <v>1081</v>
      </c>
      <c r="AK76" s="1458" t="s">
        <v>1069</v>
      </c>
      <c r="AL76" s="714"/>
      <c r="AM76" s="34"/>
      <c r="AN76" s="34"/>
      <c r="AO76" s="34"/>
      <c r="AP76" s="34"/>
      <c r="AQ76" s="34"/>
      <c r="AR76" s="34"/>
      <c r="AS76" s="34"/>
      <c r="AT76" s="34"/>
      <c r="AU76" s="34"/>
      <c r="AV76" s="34"/>
      <c r="AW76" s="34"/>
      <c r="AX76" s="34"/>
      <c r="AY76" s="34"/>
      <c r="AZ76" s="34"/>
      <c r="BA76" s="34"/>
      <c r="BB76" s="34"/>
      <c r="BC76" s="34"/>
      <c r="BD76" s="34"/>
      <c r="BE76" s="34"/>
      <c r="BF76" s="34"/>
    </row>
    <row r="77" spans="1:58" ht="11.25" customHeight="1">
      <c r="A77" s="303" t="s">
        <v>1032</v>
      </c>
      <c r="E77" s="10"/>
      <c r="F77" s="1446"/>
      <c r="G77" s="1447"/>
      <c r="H77" s="1442" t="s">
        <v>157</v>
      </c>
      <c r="I77" s="1454"/>
      <c r="J77" s="1455"/>
      <c r="K77" s="1456"/>
      <c r="L77" s="1169"/>
      <c r="M77" s="1170"/>
      <c r="N77" s="1459"/>
      <c r="O77" s="1460">
        <v>1</v>
      </c>
      <c r="P77" s="1461" t="s">
        <v>62</v>
      </c>
      <c r="Q77" s="1455" t="s">
        <v>1085</v>
      </c>
      <c r="R77" s="1464" t="s">
        <v>1072</v>
      </c>
      <c r="S77" s="1464" t="s">
        <v>100</v>
      </c>
      <c r="T77" s="1464" t="s">
        <v>100</v>
      </c>
      <c r="U77" s="1464" t="s">
        <v>101</v>
      </c>
      <c r="V77" s="1464" t="s">
        <v>1073</v>
      </c>
      <c r="W77" s="1464" t="s">
        <v>1074</v>
      </c>
      <c r="X77" s="1464" t="s">
        <v>1086</v>
      </c>
      <c r="Y77" s="1464" t="s">
        <v>1087</v>
      </c>
      <c r="Z77" s="675"/>
      <c r="AA77" s="676"/>
      <c r="AB77" s="676"/>
      <c r="AC77" s="680"/>
      <c r="AD77" s="680"/>
      <c r="AE77" s="681"/>
      <c r="AF77" s="1457"/>
      <c r="AG77" s="1458"/>
      <c r="AH77" s="1458"/>
      <c r="AI77" s="1457"/>
      <c r="AJ77" s="1458"/>
      <c r="AK77" s="1458"/>
      <c r="AL77" s="714"/>
      <c r="AM77" s="34"/>
      <c r="AN77" s="34"/>
      <c r="AO77" s="34"/>
      <c r="AP77" s="34"/>
      <c r="AQ77" s="34"/>
      <c r="AR77" s="34"/>
      <c r="AS77" s="34"/>
      <c r="AT77" s="34"/>
      <c r="AU77" s="34"/>
      <c r="AV77" s="34"/>
      <c r="AW77" s="34"/>
      <c r="AX77" s="34"/>
      <c r="AY77" s="34"/>
      <c r="AZ77" s="34"/>
      <c r="BA77" s="34"/>
      <c r="BB77" s="34"/>
      <c r="BC77" s="34"/>
      <c r="BD77" s="34"/>
      <c r="BE77" s="34"/>
      <c r="BF77" s="34"/>
    </row>
    <row r="78" spans="1:58" ht="32.25" customHeight="1">
      <c r="A78" s="303" t="s">
        <v>1032</v>
      </c>
      <c r="E78" s="10"/>
      <c r="F78" s="1446"/>
      <c r="G78" s="1447"/>
      <c r="H78" s="1442" t="s">
        <v>157</v>
      </c>
      <c r="I78" s="1454"/>
      <c r="J78" s="1455"/>
      <c r="K78" s="1456"/>
      <c r="L78" s="1169"/>
      <c r="M78" s="1170"/>
      <c r="N78" s="1459"/>
      <c r="O78" s="1460"/>
      <c r="P78" s="1462"/>
      <c r="Q78" s="1455"/>
      <c r="R78" s="1415"/>
      <c r="S78" s="1464"/>
      <c r="T78" s="1415"/>
      <c r="U78" s="1415"/>
      <c r="V78" s="1415"/>
      <c r="W78" s="1415"/>
      <c r="X78" s="1415"/>
      <c r="Y78" s="1415"/>
      <c r="Z78" s="987"/>
      <c r="AA78" s="978">
        <v>1</v>
      </c>
      <c r="AB78" s="679" t="s">
        <v>1094</v>
      </c>
      <c r="AC78" s="380">
        <v>41866.58</v>
      </c>
      <c r="AD78" s="679" t="str">
        <f>AB78</f>
        <v xml:space="preserve">  Кредиты</v>
      </c>
      <c r="AE78" s="380">
        <v>41866.46</v>
      </c>
      <c r="AF78" s="1457"/>
      <c r="AG78" s="1458"/>
      <c r="AH78" s="1458"/>
      <c r="AI78" s="1457"/>
      <c r="AJ78" s="1458"/>
      <c r="AK78" s="1458"/>
      <c r="AL78" s="714"/>
      <c r="AM78" s="34"/>
      <c r="AN78" s="34"/>
      <c r="AO78" s="34"/>
      <c r="AP78" s="34"/>
      <c r="AQ78" s="34"/>
      <c r="AR78" s="34"/>
      <c r="AS78" s="34"/>
      <c r="AT78" s="34"/>
      <c r="AU78" s="34"/>
      <c r="AV78" s="34"/>
      <c r="AW78" s="34"/>
      <c r="AX78" s="34"/>
      <c r="AY78" s="34"/>
      <c r="AZ78" s="34"/>
      <c r="BA78" s="34"/>
      <c r="BB78" s="34"/>
      <c r="BC78" s="34"/>
      <c r="BD78" s="34"/>
      <c r="BE78" s="34"/>
      <c r="BF78" s="34"/>
    </row>
    <row r="79" spans="1:58" ht="32.25" customHeight="1">
      <c r="A79" s="303" t="s">
        <v>1032</v>
      </c>
      <c r="E79" s="10"/>
      <c r="F79" s="1447"/>
      <c r="G79" s="1447"/>
      <c r="H79" s="1447"/>
      <c r="I79" s="1447"/>
      <c r="J79" s="1447"/>
      <c r="K79" s="1447"/>
      <c r="L79" s="1447"/>
      <c r="M79" s="1447"/>
      <c r="N79" s="1447"/>
      <c r="O79" s="1447"/>
      <c r="P79" s="1447"/>
      <c r="Q79" s="1447"/>
      <c r="R79" s="1447"/>
      <c r="S79" s="1447"/>
      <c r="T79" s="1447"/>
      <c r="U79" s="1447"/>
      <c r="V79" s="1447"/>
      <c r="W79" s="1447"/>
      <c r="X79" s="1447"/>
      <c r="Y79" s="1447"/>
      <c r="Z79" s="87" t="s">
        <v>122</v>
      </c>
      <c r="AA79" s="982" t="s">
        <v>110</v>
      </c>
      <c r="AB79" s="679" t="s">
        <v>1088</v>
      </c>
      <c r="AC79" s="380">
        <v>0</v>
      </c>
      <c r="AD79" s="679" t="str">
        <f>AB79</f>
        <v xml:space="preserve">     Амортизационные отчисления за исключением переоценки основных средств и нематериальных активов</v>
      </c>
      <c r="AE79" s="380">
        <v>0.12</v>
      </c>
      <c r="AF79" s="1479"/>
      <c r="AG79" s="1477"/>
      <c r="AH79" s="1477"/>
      <c r="AI79" s="1479"/>
      <c r="AJ79" s="1477"/>
      <c r="AK79" s="1478"/>
      <c r="AL79" s="714"/>
      <c r="AM79" s="34"/>
      <c r="AN79" s="34"/>
      <c r="AO79" s="34"/>
      <c r="AP79" s="34"/>
      <c r="AQ79" s="34"/>
      <c r="AR79" s="34"/>
      <c r="AS79" s="34"/>
      <c r="AT79" s="34"/>
      <c r="AU79" s="34"/>
      <c r="AV79" s="34"/>
      <c r="AW79" s="34"/>
      <c r="AX79" s="34"/>
      <c r="AY79" s="34"/>
      <c r="AZ79" s="34"/>
      <c r="BA79" s="34"/>
      <c r="BB79" s="34"/>
      <c r="BC79" s="34"/>
      <c r="BD79" s="34"/>
      <c r="BE79" s="34"/>
      <c r="BF79" s="34"/>
    </row>
    <row r="80" spans="1:58" ht="11.25" customHeight="1">
      <c r="A80" s="303" t="s">
        <v>1032</v>
      </c>
      <c r="E80" s="10"/>
      <c r="F80" s="1446"/>
      <c r="G80" s="1447"/>
      <c r="H80" s="1442" t="s">
        <v>157</v>
      </c>
      <c r="I80" s="1454"/>
      <c r="J80" s="1455"/>
      <c r="K80" s="1456"/>
      <c r="L80" s="1169"/>
      <c r="M80" s="1170"/>
      <c r="N80" s="1459"/>
      <c r="O80" s="1460"/>
      <c r="P80" s="1463"/>
      <c r="Q80" s="1455"/>
      <c r="R80" s="1415"/>
      <c r="S80" s="1464"/>
      <c r="T80" s="1415"/>
      <c r="U80" s="1415"/>
      <c r="V80" s="1415"/>
      <c r="W80" s="1415"/>
      <c r="X80" s="1415"/>
      <c r="Y80" s="1415"/>
      <c r="Z80" s="675"/>
      <c r="AA80" s="676"/>
      <c r="AB80" s="110" t="s">
        <v>1078</v>
      </c>
      <c r="AC80" s="680"/>
      <c r="AD80" s="680"/>
      <c r="AE80" s="682"/>
      <c r="AF80" s="1457"/>
      <c r="AG80" s="1458"/>
      <c r="AH80" s="1458"/>
      <c r="AI80" s="1457"/>
      <c r="AJ80" s="1458"/>
      <c r="AK80" s="1458"/>
      <c r="AL80" s="714"/>
      <c r="AM80" s="34"/>
      <c r="AN80" s="34"/>
      <c r="AO80" s="34"/>
      <c r="AP80" s="34"/>
      <c r="AQ80" s="34"/>
      <c r="AR80" s="34"/>
      <c r="AS80" s="34"/>
      <c r="AT80" s="34"/>
      <c r="AU80" s="34"/>
      <c r="AV80" s="34"/>
      <c r="AW80" s="34"/>
      <c r="AX80" s="34"/>
      <c r="AY80" s="34"/>
      <c r="AZ80" s="34"/>
      <c r="BA80" s="34"/>
      <c r="BB80" s="34"/>
      <c r="BC80" s="34"/>
      <c r="BD80" s="34"/>
      <c r="BE80" s="34"/>
      <c r="BF80" s="34"/>
    </row>
    <row r="81" spans="1:58" ht="11.25" customHeight="1">
      <c r="A81" s="303" t="s">
        <v>1032</v>
      </c>
      <c r="E81" s="10"/>
      <c r="F81" s="1446"/>
      <c r="G81" s="1447"/>
      <c r="H81" s="1442" t="s">
        <v>157</v>
      </c>
      <c r="I81" s="1454"/>
      <c r="J81" s="1455"/>
      <c r="K81" s="1456"/>
      <c r="L81" s="1169"/>
      <c r="M81" s="1170"/>
      <c r="N81" s="675"/>
      <c r="O81" s="676"/>
      <c r="P81" s="110" t="s">
        <v>1079</v>
      </c>
      <c r="Q81" s="676"/>
      <c r="R81" s="676"/>
      <c r="S81" s="676"/>
      <c r="T81" s="676"/>
      <c r="U81" s="676"/>
      <c r="V81" s="676"/>
      <c r="W81" s="676"/>
      <c r="X81" s="676"/>
      <c r="Y81" s="676"/>
      <c r="Z81" s="676"/>
      <c r="AA81" s="676"/>
      <c r="AB81" s="676"/>
      <c r="AC81" s="676"/>
      <c r="AD81" s="676"/>
      <c r="AE81" s="683"/>
      <c r="AF81" s="1457"/>
      <c r="AG81" s="1458"/>
      <c r="AH81" s="1458"/>
      <c r="AI81" s="1457"/>
      <c r="AJ81" s="1458"/>
      <c r="AK81" s="1458"/>
      <c r="AL81" s="714"/>
      <c r="AM81" s="34"/>
      <c r="AN81" s="34"/>
      <c r="AO81" s="34"/>
      <c r="AP81" s="34"/>
      <c r="AQ81" s="34"/>
      <c r="AR81" s="34"/>
      <c r="AS81" s="34"/>
      <c r="AT81" s="34"/>
      <c r="AU81" s="34"/>
      <c r="AV81" s="34"/>
      <c r="AW81" s="34"/>
      <c r="AX81" s="34"/>
      <c r="AY81" s="34"/>
      <c r="AZ81" s="34"/>
      <c r="BA81" s="34"/>
      <c r="BB81" s="34"/>
      <c r="BC81" s="34"/>
      <c r="BD81" s="34"/>
      <c r="BE81" s="34"/>
      <c r="BF81" s="34"/>
    </row>
    <row r="82" spans="1:58" ht="11.25" customHeight="1">
      <c r="A82" s="303" t="s">
        <v>1032</v>
      </c>
      <c r="B82" s="303" t="s">
        <v>1100</v>
      </c>
      <c r="E82" s="10"/>
      <c r="F82" s="1446"/>
      <c r="G82" s="1182" t="s">
        <v>122</v>
      </c>
      <c r="H82" s="1442" t="s">
        <v>159</v>
      </c>
      <c r="I82" s="1454" t="s">
        <v>1101</v>
      </c>
      <c r="J82" s="1455" t="s">
        <v>1102</v>
      </c>
      <c r="K82" s="1456" t="s">
        <v>1104</v>
      </c>
      <c r="L82" s="1169" t="s">
        <v>19</v>
      </c>
      <c r="M82" s="1170"/>
      <c r="N82" s="1053"/>
      <c r="O82" s="677" t="s">
        <v>382</v>
      </c>
      <c r="P82" s="678"/>
      <c r="Q82" s="678"/>
      <c r="R82" s="678"/>
      <c r="S82" s="678"/>
      <c r="T82" s="678"/>
      <c r="U82" s="678"/>
      <c r="V82" s="678"/>
      <c r="W82" s="678"/>
      <c r="X82" s="678"/>
      <c r="Y82" s="678"/>
      <c r="Z82" s="678"/>
      <c r="AA82" s="678"/>
      <c r="AB82" s="678"/>
      <c r="AC82" s="678"/>
      <c r="AD82" s="678"/>
      <c r="AE82" s="678"/>
      <c r="AF82" s="1457">
        <v>2023</v>
      </c>
      <c r="AG82" s="1458" t="s">
        <v>1081</v>
      </c>
      <c r="AH82" s="1458" t="s">
        <v>1069</v>
      </c>
      <c r="AI82" s="1466"/>
      <c r="AJ82" s="1458" t="s">
        <v>1084</v>
      </c>
      <c r="AK82" s="1458" t="s">
        <v>1084</v>
      </c>
      <c r="AL82" s="714"/>
      <c r="AM82" s="34"/>
      <c r="AN82" s="34"/>
      <c r="AO82" s="34"/>
      <c r="AP82" s="34"/>
      <c r="AQ82" s="34"/>
      <c r="AR82" s="34"/>
      <c r="AS82" s="34"/>
      <c r="AT82" s="34"/>
      <c r="AU82" s="34"/>
      <c r="AV82" s="34"/>
      <c r="AW82" s="34"/>
      <c r="AX82" s="34"/>
      <c r="AY82" s="34"/>
      <c r="AZ82" s="34"/>
      <c r="BA82" s="34"/>
      <c r="BB82" s="34"/>
      <c r="BC82" s="34"/>
      <c r="BD82" s="34"/>
      <c r="BE82" s="34"/>
      <c r="BF82" s="34"/>
    </row>
    <row r="83" spans="1:58" ht="10.5" customHeight="1">
      <c r="A83" s="303" t="s">
        <v>1032</v>
      </c>
      <c r="E83" s="10"/>
      <c r="F83" s="1446"/>
      <c r="G83" s="1447"/>
      <c r="H83" s="1442" t="s">
        <v>158</v>
      </c>
      <c r="I83" s="1454"/>
      <c r="J83" s="1455"/>
      <c r="K83" s="1456"/>
      <c r="L83" s="1169"/>
      <c r="M83" s="1170"/>
      <c r="N83" s="1459"/>
      <c r="O83" s="1460">
        <v>1</v>
      </c>
      <c r="P83" s="1461" t="s">
        <v>62</v>
      </c>
      <c r="Q83" s="1455" t="s">
        <v>1071</v>
      </c>
      <c r="R83" s="1464" t="s">
        <v>1072</v>
      </c>
      <c r="S83" s="1464" t="s">
        <v>100</v>
      </c>
      <c r="T83" s="1464" t="s">
        <v>100</v>
      </c>
      <c r="U83" s="1464" t="s">
        <v>101</v>
      </c>
      <c r="V83" s="1464" t="s">
        <v>1073</v>
      </c>
      <c r="W83" s="1464" t="s">
        <v>1074</v>
      </c>
      <c r="X83" s="1464" t="s">
        <v>1075</v>
      </c>
      <c r="Y83" s="1464" t="s">
        <v>1076</v>
      </c>
      <c r="Z83" s="675"/>
      <c r="AA83" s="676"/>
      <c r="AB83" s="676"/>
      <c r="AC83" s="680"/>
      <c r="AD83" s="680"/>
      <c r="AE83" s="681"/>
      <c r="AF83" s="1457"/>
      <c r="AG83" s="1458"/>
      <c r="AH83" s="1458"/>
      <c r="AI83" s="1466"/>
      <c r="AJ83" s="1458"/>
      <c r="AK83" s="1458"/>
      <c r="AL83" s="714"/>
      <c r="AM83" s="34"/>
      <c r="AN83" s="34"/>
      <c r="AO83" s="34"/>
      <c r="AP83" s="34"/>
      <c r="AQ83" s="34"/>
      <c r="AR83" s="34"/>
      <c r="AS83" s="34"/>
      <c r="AT83" s="34"/>
      <c r="AU83" s="34"/>
      <c r="AV83" s="34"/>
      <c r="AW83" s="34"/>
      <c r="AX83" s="34"/>
      <c r="AY83" s="34"/>
      <c r="AZ83" s="34"/>
      <c r="BA83" s="34"/>
      <c r="BB83" s="34"/>
      <c r="BC83" s="34"/>
      <c r="BD83" s="34"/>
      <c r="BE83" s="34"/>
      <c r="BF83" s="34"/>
    </row>
    <row r="84" spans="1:58" ht="32.25" customHeight="1">
      <c r="A84" s="303" t="s">
        <v>1032</v>
      </c>
      <c r="E84" s="10"/>
      <c r="F84" s="1446"/>
      <c r="G84" s="1447"/>
      <c r="H84" s="1442" t="s">
        <v>158</v>
      </c>
      <c r="I84" s="1454"/>
      <c r="J84" s="1455"/>
      <c r="K84" s="1456"/>
      <c r="L84" s="1169"/>
      <c r="M84" s="1170"/>
      <c r="N84" s="1459"/>
      <c r="O84" s="1460"/>
      <c r="P84" s="1462"/>
      <c r="Q84" s="1455"/>
      <c r="R84" s="1415"/>
      <c r="S84" s="1464"/>
      <c r="T84" s="1415"/>
      <c r="U84" s="1415"/>
      <c r="V84" s="1415"/>
      <c r="W84" s="1415"/>
      <c r="X84" s="1415"/>
      <c r="Y84" s="1415"/>
      <c r="Z84" s="987"/>
      <c r="AA84" s="978">
        <v>1</v>
      </c>
      <c r="AB84" s="679" t="s">
        <v>1088</v>
      </c>
      <c r="AC84" s="380">
        <v>3241.89</v>
      </c>
      <c r="AD84" s="679" t="str">
        <f>AB84</f>
        <v xml:space="preserve">     Амортизационные отчисления за исключением переоценки основных средств и нематериальных активов</v>
      </c>
      <c r="AE84" s="380">
        <v>0</v>
      </c>
      <c r="AF84" s="1457"/>
      <c r="AG84" s="1458"/>
      <c r="AH84" s="1458"/>
      <c r="AI84" s="1466"/>
      <c r="AJ84" s="1458"/>
      <c r="AK84" s="1458"/>
      <c r="AL84" s="714"/>
      <c r="AM84" s="34"/>
      <c r="AN84" s="34"/>
      <c r="AO84" s="34"/>
      <c r="AP84" s="34"/>
      <c r="AQ84" s="34"/>
      <c r="AR84" s="34"/>
      <c r="AS84" s="34"/>
      <c r="AT84" s="34"/>
      <c r="AU84" s="34"/>
      <c r="AV84" s="34"/>
      <c r="AW84" s="34"/>
      <c r="AX84" s="34"/>
      <c r="AY84" s="34"/>
      <c r="AZ84" s="34"/>
      <c r="BA84" s="34"/>
      <c r="BB84" s="34"/>
      <c r="BC84" s="34"/>
      <c r="BD84" s="34"/>
      <c r="BE84" s="34"/>
      <c r="BF84" s="34"/>
    </row>
    <row r="85" spans="1:58" ht="11.25" customHeight="1">
      <c r="A85" s="303" t="s">
        <v>1032</v>
      </c>
      <c r="E85" s="10"/>
      <c r="F85" s="1446"/>
      <c r="G85" s="1447"/>
      <c r="H85" s="1442" t="s">
        <v>158</v>
      </c>
      <c r="I85" s="1454"/>
      <c r="J85" s="1455"/>
      <c r="K85" s="1456"/>
      <c r="L85" s="1169"/>
      <c r="M85" s="1170"/>
      <c r="N85" s="1459"/>
      <c r="O85" s="1460"/>
      <c r="P85" s="1463"/>
      <c r="Q85" s="1455"/>
      <c r="R85" s="1415"/>
      <c r="S85" s="1464"/>
      <c r="T85" s="1415"/>
      <c r="U85" s="1415"/>
      <c r="V85" s="1415"/>
      <c r="W85" s="1415"/>
      <c r="X85" s="1415"/>
      <c r="Y85" s="1415"/>
      <c r="Z85" s="675"/>
      <c r="AA85" s="676"/>
      <c r="AB85" s="110" t="s">
        <v>1078</v>
      </c>
      <c r="AC85" s="680"/>
      <c r="AD85" s="680"/>
      <c r="AE85" s="682"/>
      <c r="AF85" s="1457"/>
      <c r="AG85" s="1458"/>
      <c r="AH85" s="1458"/>
      <c r="AI85" s="1466"/>
      <c r="AJ85" s="1458"/>
      <c r="AK85" s="1458"/>
      <c r="AL85" s="714"/>
      <c r="AM85" s="34"/>
      <c r="AN85" s="34"/>
      <c r="AO85" s="34"/>
      <c r="AP85" s="34"/>
      <c r="AQ85" s="34"/>
      <c r="AR85" s="34"/>
      <c r="AS85" s="34"/>
      <c r="AT85" s="34"/>
      <c r="AU85" s="34"/>
      <c r="AV85" s="34"/>
      <c r="AW85" s="34"/>
      <c r="AX85" s="34"/>
      <c r="AY85" s="34"/>
      <c r="AZ85" s="34"/>
      <c r="BA85" s="34"/>
      <c r="BB85" s="34"/>
      <c r="BC85" s="34"/>
      <c r="BD85" s="34"/>
      <c r="BE85" s="34"/>
      <c r="BF85" s="34"/>
    </row>
    <row r="86" spans="1:58" ht="11.25" customHeight="1">
      <c r="A86" s="303" t="s">
        <v>1032</v>
      </c>
      <c r="E86" s="10"/>
      <c r="F86" s="1446"/>
      <c r="G86" s="1447"/>
      <c r="H86" s="1442" t="s">
        <v>158</v>
      </c>
      <c r="I86" s="1454"/>
      <c r="J86" s="1455"/>
      <c r="K86" s="1456"/>
      <c r="L86" s="1169"/>
      <c r="M86" s="1170"/>
      <c r="N86" s="675"/>
      <c r="O86" s="676"/>
      <c r="P86" s="110" t="s">
        <v>1079</v>
      </c>
      <c r="Q86" s="676"/>
      <c r="R86" s="676"/>
      <c r="S86" s="676"/>
      <c r="T86" s="676"/>
      <c r="U86" s="676"/>
      <c r="V86" s="676"/>
      <c r="W86" s="676"/>
      <c r="X86" s="676"/>
      <c r="Y86" s="676"/>
      <c r="Z86" s="676"/>
      <c r="AA86" s="676"/>
      <c r="AB86" s="676"/>
      <c r="AC86" s="676"/>
      <c r="AD86" s="676"/>
      <c r="AE86" s="683"/>
      <c r="AF86" s="1457"/>
      <c r="AG86" s="1458"/>
      <c r="AH86" s="1458"/>
      <c r="AI86" s="1466"/>
      <c r="AJ86" s="1458"/>
      <c r="AK86" s="1458"/>
      <c r="AL86" s="714"/>
      <c r="AM86" s="34"/>
      <c r="AN86" s="34"/>
      <c r="AO86" s="34"/>
      <c r="AP86" s="34"/>
      <c r="AQ86" s="34"/>
      <c r="AR86" s="34"/>
      <c r="AS86" s="34"/>
      <c r="AT86" s="34"/>
      <c r="AU86" s="34"/>
      <c r="AV86" s="34"/>
      <c r="AW86" s="34"/>
      <c r="AX86" s="34"/>
      <c r="AY86" s="34"/>
      <c r="AZ86" s="34"/>
      <c r="BA86" s="34"/>
      <c r="BB86" s="34"/>
      <c r="BC86" s="34"/>
      <c r="BD86" s="34"/>
      <c r="BE86" s="34"/>
      <c r="BF86" s="34"/>
    </row>
    <row r="87" spans="1:58" ht="11.25" customHeight="1">
      <c r="A87" s="303" t="s">
        <v>1032</v>
      </c>
      <c r="B87" s="303" t="s">
        <v>1100</v>
      </c>
      <c r="E87" s="10"/>
      <c r="F87" s="1446"/>
      <c r="G87" s="1182" t="s">
        <v>122</v>
      </c>
      <c r="H87" s="1442" t="s">
        <v>160</v>
      </c>
      <c r="I87" s="1454" t="s">
        <v>1101</v>
      </c>
      <c r="J87" s="1455" t="s">
        <v>1102</v>
      </c>
      <c r="K87" s="1456" t="s">
        <v>1105</v>
      </c>
      <c r="L87" s="1169" t="s">
        <v>19</v>
      </c>
      <c r="M87" s="1170"/>
      <c r="N87" s="1053"/>
      <c r="O87" s="677" t="s">
        <v>382</v>
      </c>
      <c r="P87" s="678"/>
      <c r="Q87" s="678"/>
      <c r="R87" s="678"/>
      <c r="S87" s="678"/>
      <c r="T87" s="678"/>
      <c r="U87" s="678"/>
      <c r="V87" s="678"/>
      <c r="W87" s="678"/>
      <c r="X87" s="678"/>
      <c r="Y87" s="678"/>
      <c r="Z87" s="678"/>
      <c r="AA87" s="678"/>
      <c r="AB87" s="678"/>
      <c r="AC87" s="678"/>
      <c r="AD87" s="678"/>
      <c r="AE87" s="678"/>
      <c r="AF87" s="1457">
        <v>2023</v>
      </c>
      <c r="AG87" s="1458" t="s">
        <v>1070</v>
      </c>
      <c r="AH87" s="1458" t="s">
        <v>1106</v>
      </c>
      <c r="AI87" s="1457">
        <v>2024</v>
      </c>
      <c r="AJ87" s="1458" t="s">
        <v>1070</v>
      </c>
      <c r="AK87" s="1458" t="s">
        <v>1106</v>
      </c>
      <c r="AL87" s="714"/>
      <c r="AM87" s="34"/>
      <c r="AN87" s="34"/>
      <c r="AO87" s="34"/>
      <c r="AP87" s="34"/>
      <c r="AQ87" s="34"/>
      <c r="AR87" s="34"/>
      <c r="AS87" s="34"/>
      <c r="AT87" s="34"/>
      <c r="AU87" s="34"/>
      <c r="AV87" s="34"/>
      <c r="AW87" s="34"/>
      <c r="AX87" s="34"/>
      <c r="AY87" s="34"/>
      <c r="AZ87" s="34"/>
      <c r="BA87" s="34"/>
      <c r="BB87" s="34"/>
      <c r="BC87" s="34"/>
      <c r="BD87" s="34"/>
      <c r="BE87" s="34"/>
      <c r="BF87" s="34"/>
    </row>
    <row r="88" spans="1:58" ht="11.25" customHeight="1">
      <c r="A88" s="303" t="s">
        <v>1032</v>
      </c>
      <c r="E88" s="10"/>
      <c r="F88" s="1446"/>
      <c r="G88" s="1447"/>
      <c r="H88" s="1442" t="s">
        <v>159</v>
      </c>
      <c r="I88" s="1454"/>
      <c r="J88" s="1455"/>
      <c r="K88" s="1456"/>
      <c r="L88" s="1169"/>
      <c r="M88" s="1170"/>
      <c r="N88" s="1459"/>
      <c r="O88" s="1460">
        <v>1</v>
      </c>
      <c r="P88" s="1461" t="s">
        <v>62</v>
      </c>
      <c r="Q88" s="1455" t="s">
        <v>1071</v>
      </c>
      <c r="R88" s="1464" t="s">
        <v>1072</v>
      </c>
      <c r="S88" s="1464" t="s">
        <v>100</v>
      </c>
      <c r="T88" s="1464" t="s">
        <v>100</v>
      </c>
      <c r="U88" s="1464" t="s">
        <v>101</v>
      </c>
      <c r="V88" s="1464" t="s">
        <v>1073</v>
      </c>
      <c r="W88" s="1464" t="s">
        <v>1074</v>
      </c>
      <c r="X88" s="1464" t="s">
        <v>1075</v>
      </c>
      <c r="Y88" s="1464" t="s">
        <v>1076</v>
      </c>
      <c r="Z88" s="675"/>
      <c r="AA88" s="676"/>
      <c r="AB88" s="676"/>
      <c r="AC88" s="680"/>
      <c r="AD88" s="680"/>
      <c r="AE88" s="681"/>
      <c r="AF88" s="1457"/>
      <c r="AG88" s="1458"/>
      <c r="AH88" s="1458"/>
      <c r="AI88" s="1457"/>
      <c r="AJ88" s="1458"/>
      <c r="AK88" s="1458"/>
      <c r="AL88" s="714"/>
      <c r="AM88" s="34"/>
      <c r="AN88" s="34"/>
      <c r="AO88" s="34"/>
      <c r="AP88" s="34"/>
      <c r="AQ88" s="34"/>
      <c r="AR88" s="34"/>
      <c r="AS88" s="34"/>
      <c r="AT88" s="34"/>
      <c r="AU88" s="34"/>
      <c r="AV88" s="34"/>
      <c r="AW88" s="34"/>
      <c r="AX88" s="34"/>
      <c r="AY88" s="34"/>
      <c r="AZ88" s="34"/>
      <c r="BA88" s="34"/>
      <c r="BB88" s="34"/>
      <c r="BC88" s="34"/>
      <c r="BD88" s="34"/>
      <c r="BE88" s="34"/>
      <c r="BF88" s="34"/>
    </row>
    <row r="89" spans="1:58" ht="13.5" customHeight="1">
      <c r="A89" s="303" t="s">
        <v>1032</v>
      </c>
      <c r="E89" s="10"/>
      <c r="F89" s="1446"/>
      <c r="G89" s="1447"/>
      <c r="H89" s="1442" t="s">
        <v>159</v>
      </c>
      <c r="I89" s="1454"/>
      <c r="J89" s="1455"/>
      <c r="K89" s="1456"/>
      <c r="L89" s="1169"/>
      <c r="M89" s="1170"/>
      <c r="N89" s="1459"/>
      <c r="O89" s="1460"/>
      <c r="P89" s="1462"/>
      <c r="Q89" s="1455"/>
      <c r="R89" s="1415"/>
      <c r="S89" s="1464"/>
      <c r="T89" s="1415"/>
      <c r="U89" s="1415"/>
      <c r="V89" s="1415"/>
      <c r="W89" s="1415"/>
      <c r="X89" s="1415"/>
      <c r="Y89" s="1415"/>
      <c r="Z89" s="987"/>
      <c r="AA89" s="978">
        <v>1</v>
      </c>
      <c r="AB89" s="679" t="s">
        <v>1094</v>
      </c>
      <c r="AC89" s="380">
        <v>37207.08</v>
      </c>
      <c r="AD89" s="679" t="str">
        <f>AB89</f>
        <v xml:space="preserve">  Кредиты</v>
      </c>
      <c r="AE89" s="380">
        <v>12424.23</v>
      </c>
      <c r="AF89" s="1457"/>
      <c r="AG89" s="1458"/>
      <c r="AH89" s="1458"/>
      <c r="AI89" s="1457"/>
      <c r="AJ89" s="1458"/>
      <c r="AK89" s="1458"/>
      <c r="AL89" s="714"/>
      <c r="AM89" s="34"/>
      <c r="AN89" s="34"/>
      <c r="AO89" s="34"/>
      <c r="AP89" s="34"/>
      <c r="AQ89" s="34"/>
      <c r="AR89" s="34"/>
      <c r="AS89" s="34"/>
      <c r="AT89" s="34"/>
      <c r="AU89" s="34"/>
      <c r="AV89" s="34"/>
      <c r="AW89" s="34"/>
      <c r="AX89" s="34"/>
      <c r="AY89" s="34"/>
      <c r="AZ89" s="34"/>
      <c r="BA89" s="34"/>
      <c r="BB89" s="34"/>
      <c r="BC89" s="34"/>
      <c r="BD89" s="34"/>
      <c r="BE89" s="34"/>
      <c r="BF89" s="34"/>
    </row>
    <row r="90" spans="1:58" ht="32.25" customHeight="1">
      <c r="A90" s="303" t="s">
        <v>1032</v>
      </c>
      <c r="E90" s="10"/>
      <c r="F90" s="1447"/>
      <c r="G90" s="1447"/>
      <c r="H90" s="1447"/>
      <c r="I90" s="1447"/>
      <c r="J90" s="1447"/>
      <c r="K90" s="1447"/>
      <c r="L90" s="1447"/>
      <c r="M90" s="1447"/>
      <c r="N90" s="1447"/>
      <c r="O90" s="1447"/>
      <c r="P90" s="1447"/>
      <c r="Q90" s="1447"/>
      <c r="R90" s="1447"/>
      <c r="S90" s="1447"/>
      <c r="T90" s="1447"/>
      <c r="U90" s="1447"/>
      <c r="V90" s="1447"/>
      <c r="W90" s="1447"/>
      <c r="X90" s="1447"/>
      <c r="Y90" s="1447"/>
      <c r="Z90" s="87" t="s">
        <v>122</v>
      </c>
      <c r="AA90" s="982" t="s">
        <v>110</v>
      </c>
      <c r="AB90" s="679" t="s">
        <v>1088</v>
      </c>
      <c r="AC90" s="380">
        <v>0</v>
      </c>
      <c r="AD90" s="679" t="str">
        <f>AB90</f>
        <v xml:space="preserve">     Амортизационные отчисления за исключением переоценки основных средств и нематериальных активов</v>
      </c>
      <c r="AE90" s="380">
        <v>24782.84</v>
      </c>
      <c r="AF90" s="1479"/>
      <c r="AG90" s="1477"/>
      <c r="AH90" s="1477"/>
      <c r="AI90" s="1479"/>
      <c r="AJ90" s="1477"/>
      <c r="AK90" s="1478"/>
      <c r="AL90" s="714"/>
      <c r="AM90" s="34"/>
      <c r="AN90" s="34"/>
      <c r="AO90" s="34"/>
      <c r="AP90" s="34"/>
      <c r="AQ90" s="34"/>
      <c r="AR90" s="34"/>
      <c r="AS90" s="34"/>
      <c r="AT90" s="34"/>
      <c r="AU90" s="34"/>
      <c r="AV90" s="34"/>
      <c r="AW90" s="34"/>
      <c r="AX90" s="34"/>
      <c r="AY90" s="34"/>
      <c r="AZ90" s="34"/>
      <c r="BA90" s="34"/>
      <c r="BB90" s="34"/>
      <c r="BC90" s="34"/>
      <c r="BD90" s="34"/>
      <c r="BE90" s="34"/>
      <c r="BF90" s="34"/>
    </row>
    <row r="91" spans="1:58" ht="11.25" customHeight="1">
      <c r="A91" s="303" t="s">
        <v>1032</v>
      </c>
      <c r="E91" s="10"/>
      <c r="F91" s="1446"/>
      <c r="G91" s="1447"/>
      <c r="H91" s="1442" t="s">
        <v>159</v>
      </c>
      <c r="I91" s="1454"/>
      <c r="J91" s="1455"/>
      <c r="K91" s="1456"/>
      <c r="L91" s="1169"/>
      <c r="M91" s="1170"/>
      <c r="N91" s="1459"/>
      <c r="O91" s="1460"/>
      <c r="P91" s="1463"/>
      <c r="Q91" s="1455"/>
      <c r="R91" s="1415"/>
      <c r="S91" s="1464"/>
      <c r="T91" s="1415"/>
      <c r="U91" s="1415"/>
      <c r="V91" s="1415"/>
      <c r="W91" s="1415"/>
      <c r="X91" s="1415"/>
      <c r="Y91" s="1415"/>
      <c r="Z91" s="675"/>
      <c r="AA91" s="676"/>
      <c r="AB91" s="110" t="s">
        <v>1078</v>
      </c>
      <c r="AC91" s="680"/>
      <c r="AD91" s="680"/>
      <c r="AE91" s="682"/>
      <c r="AF91" s="1457"/>
      <c r="AG91" s="1458"/>
      <c r="AH91" s="1458"/>
      <c r="AI91" s="1457"/>
      <c r="AJ91" s="1458"/>
      <c r="AK91" s="1458"/>
      <c r="AL91" s="714"/>
      <c r="AM91" s="34"/>
      <c r="AN91" s="34"/>
      <c r="AO91" s="34"/>
      <c r="AP91" s="34"/>
      <c r="AQ91" s="34"/>
      <c r="AR91" s="34"/>
      <c r="AS91" s="34"/>
      <c r="AT91" s="34"/>
      <c r="AU91" s="34"/>
      <c r="AV91" s="34"/>
      <c r="AW91" s="34"/>
      <c r="AX91" s="34"/>
      <c r="AY91" s="34"/>
      <c r="AZ91" s="34"/>
      <c r="BA91" s="34"/>
      <c r="BB91" s="34"/>
      <c r="BC91" s="34"/>
      <c r="BD91" s="34"/>
      <c r="BE91" s="34"/>
      <c r="BF91" s="34"/>
    </row>
    <row r="92" spans="1:58" ht="11.25" customHeight="1">
      <c r="A92" s="303" t="s">
        <v>1032</v>
      </c>
      <c r="E92" s="10"/>
      <c r="F92" s="1446"/>
      <c r="G92" s="1447"/>
      <c r="H92" s="1442" t="s">
        <v>159</v>
      </c>
      <c r="I92" s="1454"/>
      <c r="J92" s="1455"/>
      <c r="K92" s="1456"/>
      <c r="L92" s="1169"/>
      <c r="M92" s="1170"/>
      <c r="N92" s="675"/>
      <c r="O92" s="676"/>
      <c r="P92" s="110" t="s">
        <v>1079</v>
      </c>
      <c r="Q92" s="676"/>
      <c r="R92" s="676"/>
      <c r="S92" s="676"/>
      <c r="T92" s="676"/>
      <c r="U92" s="676"/>
      <c r="V92" s="676"/>
      <c r="W92" s="676"/>
      <c r="X92" s="676"/>
      <c r="Y92" s="676"/>
      <c r="Z92" s="676"/>
      <c r="AA92" s="676"/>
      <c r="AB92" s="676"/>
      <c r="AC92" s="676"/>
      <c r="AD92" s="676"/>
      <c r="AE92" s="683"/>
      <c r="AF92" s="1457"/>
      <c r="AG92" s="1458"/>
      <c r="AH92" s="1458"/>
      <c r="AI92" s="1457"/>
      <c r="AJ92" s="1458"/>
      <c r="AK92" s="1458"/>
      <c r="AL92" s="714"/>
      <c r="AM92" s="34"/>
      <c r="AN92" s="34"/>
      <c r="AO92" s="34"/>
      <c r="AP92" s="34"/>
      <c r="AQ92" s="34"/>
      <c r="AR92" s="34"/>
      <c r="AS92" s="34"/>
      <c r="AT92" s="34"/>
      <c r="AU92" s="34"/>
      <c r="AV92" s="34"/>
      <c r="AW92" s="34"/>
      <c r="AX92" s="34"/>
      <c r="AY92" s="34"/>
      <c r="AZ92" s="34"/>
      <c r="BA92" s="34"/>
      <c r="BB92" s="34"/>
      <c r="BC92" s="34"/>
      <c r="BD92" s="34"/>
      <c r="BE92" s="34"/>
      <c r="BF92" s="34"/>
    </row>
    <row r="93" spans="1:58" ht="11.25" customHeight="1">
      <c r="A93" s="303" t="s">
        <v>1032</v>
      </c>
      <c r="B93" s="303" t="s">
        <v>1100</v>
      </c>
      <c r="E93" s="10"/>
      <c r="F93" s="1446"/>
      <c r="G93" s="1182" t="s">
        <v>122</v>
      </c>
      <c r="H93" s="1442" t="s">
        <v>161</v>
      </c>
      <c r="I93" s="1454" t="s">
        <v>1101</v>
      </c>
      <c r="J93" s="1455" t="s">
        <v>1102</v>
      </c>
      <c r="K93" s="1456" t="s">
        <v>1107</v>
      </c>
      <c r="L93" s="1169" t="s">
        <v>19</v>
      </c>
      <c r="M93" s="1170"/>
      <c r="N93" s="1053"/>
      <c r="O93" s="677" t="s">
        <v>382</v>
      </c>
      <c r="P93" s="678"/>
      <c r="Q93" s="678"/>
      <c r="R93" s="678"/>
      <c r="S93" s="678"/>
      <c r="T93" s="678"/>
      <c r="U93" s="678"/>
      <c r="V93" s="678"/>
      <c r="W93" s="678"/>
      <c r="X93" s="678"/>
      <c r="Y93" s="678"/>
      <c r="Z93" s="678"/>
      <c r="AA93" s="678"/>
      <c r="AB93" s="678"/>
      <c r="AC93" s="678"/>
      <c r="AD93" s="678"/>
      <c r="AE93" s="678"/>
      <c r="AF93" s="1457">
        <v>2023</v>
      </c>
      <c r="AG93" s="1458" t="s">
        <v>1070</v>
      </c>
      <c r="AH93" s="1458" t="s">
        <v>1069</v>
      </c>
      <c r="AI93" s="1457">
        <v>2023</v>
      </c>
      <c r="AJ93" s="1458" t="s">
        <v>1070</v>
      </c>
      <c r="AK93" s="1458" t="s">
        <v>1069</v>
      </c>
      <c r="AL93" s="714"/>
      <c r="AM93" s="34"/>
      <c r="AN93" s="34"/>
      <c r="AO93" s="34"/>
      <c r="AP93" s="34"/>
      <c r="AQ93" s="34"/>
      <c r="AR93" s="34"/>
      <c r="AS93" s="34"/>
      <c r="AT93" s="34"/>
      <c r="AU93" s="34"/>
      <c r="AV93" s="34"/>
      <c r="AW93" s="34"/>
      <c r="AX93" s="34"/>
      <c r="AY93" s="34"/>
      <c r="AZ93" s="34"/>
      <c r="BA93" s="34"/>
      <c r="BB93" s="34"/>
      <c r="BC93" s="34"/>
      <c r="BD93" s="34"/>
      <c r="BE93" s="34"/>
      <c r="BF93" s="34"/>
    </row>
    <row r="94" spans="1:58" ht="11.25" customHeight="1">
      <c r="A94" s="303" t="s">
        <v>1032</v>
      </c>
      <c r="E94" s="10"/>
      <c r="F94" s="1446"/>
      <c r="G94" s="1447"/>
      <c r="H94" s="1442" t="s">
        <v>160</v>
      </c>
      <c r="I94" s="1454"/>
      <c r="J94" s="1455"/>
      <c r="K94" s="1456"/>
      <c r="L94" s="1169"/>
      <c r="M94" s="1170"/>
      <c r="N94" s="1459"/>
      <c r="O94" s="1460">
        <v>1</v>
      </c>
      <c r="P94" s="1461" t="s">
        <v>62</v>
      </c>
      <c r="Q94" s="1455" t="s">
        <v>1085</v>
      </c>
      <c r="R94" s="1464" t="s">
        <v>1072</v>
      </c>
      <c r="S94" s="1464" t="s">
        <v>100</v>
      </c>
      <c r="T94" s="1464" t="s">
        <v>100</v>
      </c>
      <c r="U94" s="1464" t="s">
        <v>101</v>
      </c>
      <c r="V94" s="1464" t="s">
        <v>1073</v>
      </c>
      <c r="W94" s="1464" t="s">
        <v>1074</v>
      </c>
      <c r="X94" s="1464" t="s">
        <v>1086</v>
      </c>
      <c r="Y94" s="1464" t="s">
        <v>1087</v>
      </c>
      <c r="Z94" s="675"/>
      <c r="AA94" s="676"/>
      <c r="AB94" s="676"/>
      <c r="AC94" s="680"/>
      <c r="AD94" s="680"/>
      <c r="AE94" s="681"/>
      <c r="AF94" s="1457"/>
      <c r="AG94" s="1458"/>
      <c r="AH94" s="1458"/>
      <c r="AI94" s="1457"/>
      <c r="AJ94" s="1458"/>
      <c r="AK94" s="1458"/>
      <c r="AL94" s="714"/>
      <c r="AM94" s="34"/>
      <c r="AN94" s="34"/>
      <c r="AO94" s="34"/>
      <c r="AP94" s="34"/>
      <c r="AQ94" s="34"/>
      <c r="AR94" s="34"/>
      <c r="AS94" s="34"/>
      <c r="AT94" s="34"/>
      <c r="AU94" s="34"/>
      <c r="AV94" s="34"/>
      <c r="AW94" s="34"/>
      <c r="AX94" s="34"/>
      <c r="AY94" s="34"/>
      <c r="AZ94" s="34"/>
      <c r="BA94" s="34"/>
      <c r="BB94" s="34"/>
      <c r="BC94" s="34"/>
      <c r="BD94" s="34"/>
      <c r="BE94" s="34"/>
      <c r="BF94" s="34"/>
    </row>
    <row r="95" spans="1:58" ht="32.25" customHeight="1">
      <c r="A95" s="303" t="s">
        <v>1032</v>
      </c>
      <c r="E95" s="10"/>
      <c r="F95" s="1446"/>
      <c r="G95" s="1447"/>
      <c r="H95" s="1442" t="s">
        <v>160</v>
      </c>
      <c r="I95" s="1454"/>
      <c r="J95" s="1455"/>
      <c r="K95" s="1456"/>
      <c r="L95" s="1169"/>
      <c r="M95" s="1170"/>
      <c r="N95" s="1459"/>
      <c r="O95" s="1460"/>
      <c r="P95" s="1462"/>
      <c r="Q95" s="1455"/>
      <c r="R95" s="1415"/>
      <c r="S95" s="1464"/>
      <c r="T95" s="1415"/>
      <c r="U95" s="1415"/>
      <c r="V95" s="1415"/>
      <c r="W95" s="1415"/>
      <c r="X95" s="1415"/>
      <c r="Y95" s="1415"/>
      <c r="Z95" s="987"/>
      <c r="AA95" s="978">
        <v>1</v>
      </c>
      <c r="AB95" s="679" t="s">
        <v>1088</v>
      </c>
      <c r="AC95" s="380">
        <f>20891.52-AC96</f>
        <v>7816.6440000000021</v>
      </c>
      <c r="AD95" s="679" t="str">
        <f>AB95</f>
        <v xml:space="preserve">     Амортизационные отчисления за исключением переоценки основных средств и нематериальных активов</v>
      </c>
      <c r="AE95" s="380">
        <v>3443.28</v>
      </c>
      <c r="AF95" s="1457"/>
      <c r="AG95" s="1458"/>
      <c r="AH95" s="1458"/>
      <c r="AI95" s="1457"/>
      <c r="AJ95" s="1458"/>
      <c r="AK95" s="1458"/>
      <c r="AL95" s="714"/>
      <c r="AM95" s="34"/>
      <c r="AN95" s="34"/>
      <c r="AO95" s="34"/>
      <c r="AP95" s="34"/>
      <c r="AQ95" s="34"/>
      <c r="AR95" s="34"/>
      <c r="AS95" s="34"/>
      <c r="AT95" s="34"/>
      <c r="AU95" s="34"/>
      <c r="AV95" s="34"/>
      <c r="AW95" s="34"/>
      <c r="AX95" s="34"/>
      <c r="AY95" s="34"/>
      <c r="AZ95" s="34"/>
      <c r="BA95" s="34"/>
      <c r="BB95" s="34"/>
      <c r="BC95" s="34"/>
      <c r="BD95" s="34"/>
      <c r="BE95" s="34"/>
      <c r="BF95" s="34"/>
    </row>
    <row r="96" spans="1:58" ht="11.25" customHeight="1">
      <c r="A96" s="303" t="s">
        <v>1032</v>
      </c>
      <c r="E96" s="10"/>
      <c r="F96" s="1447"/>
      <c r="G96" s="1447"/>
      <c r="H96" s="1447"/>
      <c r="I96" s="1447"/>
      <c r="J96" s="1447"/>
      <c r="K96" s="1447"/>
      <c r="L96" s="1447"/>
      <c r="M96" s="1447"/>
      <c r="N96" s="1447"/>
      <c r="O96" s="1447"/>
      <c r="P96" s="1447"/>
      <c r="Q96" s="1447"/>
      <c r="R96" s="1447"/>
      <c r="S96" s="1447"/>
      <c r="T96" s="1447"/>
      <c r="U96" s="1447"/>
      <c r="V96" s="1447"/>
      <c r="W96" s="1447"/>
      <c r="X96" s="1447"/>
      <c r="Y96" s="1447"/>
      <c r="Z96" s="87" t="s">
        <v>122</v>
      </c>
      <c r="AA96" s="982" t="s">
        <v>110</v>
      </c>
      <c r="AB96" s="679" t="s">
        <v>1108</v>
      </c>
      <c r="AC96" s="380">
        <f>10895.73*1.2</f>
        <v>13074.875999999998</v>
      </c>
      <c r="AD96" s="679" t="str">
        <f>AB96</f>
        <v xml:space="preserve">  Прочие</v>
      </c>
      <c r="AE96" s="380">
        <v>17448.240000000002</v>
      </c>
      <c r="AF96" s="1479"/>
      <c r="AG96" s="1477"/>
      <c r="AH96" s="1477"/>
      <c r="AI96" s="1479"/>
      <c r="AJ96" s="1477"/>
      <c r="AK96" s="1478"/>
      <c r="AL96" s="714"/>
      <c r="AM96" s="34"/>
      <c r="AN96" s="34"/>
      <c r="AO96" s="34"/>
      <c r="AP96" s="34"/>
      <c r="AQ96" s="34"/>
      <c r="AR96" s="34"/>
      <c r="AS96" s="34"/>
      <c r="AT96" s="34"/>
      <c r="AU96" s="34"/>
      <c r="AV96" s="34"/>
      <c r="AW96" s="34"/>
      <c r="AX96" s="34"/>
      <c r="AY96" s="34"/>
      <c r="AZ96" s="34"/>
      <c r="BA96" s="34"/>
      <c r="BB96" s="34"/>
      <c r="BC96" s="34"/>
      <c r="BD96" s="34"/>
      <c r="BE96" s="34"/>
      <c r="BF96" s="34"/>
    </row>
    <row r="97" spans="1:58" ht="11.25" customHeight="1">
      <c r="A97" s="303" t="s">
        <v>1032</v>
      </c>
      <c r="E97" s="10"/>
      <c r="F97" s="1446"/>
      <c r="G97" s="1447"/>
      <c r="H97" s="1442" t="s">
        <v>160</v>
      </c>
      <c r="I97" s="1454"/>
      <c r="J97" s="1455"/>
      <c r="K97" s="1456"/>
      <c r="L97" s="1169"/>
      <c r="M97" s="1170"/>
      <c r="N97" s="1459"/>
      <c r="O97" s="1460"/>
      <c r="P97" s="1463"/>
      <c r="Q97" s="1455"/>
      <c r="R97" s="1415"/>
      <c r="S97" s="1464"/>
      <c r="T97" s="1415"/>
      <c r="U97" s="1415"/>
      <c r="V97" s="1415"/>
      <c r="W97" s="1415"/>
      <c r="X97" s="1415"/>
      <c r="Y97" s="1415"/>
      <c r="Z97" s="675"/>
      <c r="AA97" s="676"/>
      <c r="AB97" s="110" t="s">
        <v>1078</v>
      </c>
      <c r="AC97" s="680"/>
      <c r="AD97" s="680"/>
      <c r="AE97" s="682"/>
      <c r="AF97" s="1457"/>
      <c r="AG97" s="1458"/>
      <c r="AH97" s="1458"/>
      <c r="AI97" s="1457"/>
      <c r="AJ97" s="1458"/>
      <c r="AK97" s="1458"/>
      <c r="AL97" s="714"/>
      <c r="AM97" s="34"/>
      <c r="AN97" s="34"/>
      <c r="AO97" s="34"/>
      <c r="AP97" s="34"/>
      <c r="AQ97" s="34"/>
      <c r="AR97" s="34"/>
      <c r="AS97" s="34"/>
      <c r="AT97" s="34"/>
      <c r="AU97" s="34"/>
      <c r="AV97" s="34"/>
      <c r="AW97" s="34"/>
      <c r="AX97" s="34"/>
      <c r="AY97" s="34"/>
      <c r="AZ97" s="34"/>
      <c r="BA97" s="34"/>
      <c r="BB97" s="34"/>
      <c r="BC97" s="34"/>
      <c r="BD97" s="34"/>
      <c r="BE97" s="34"/>
      <c r="BF97" s="34"/>
    </row>
    <row r="98" spans="1:58" ht="11.25" customHeight="1">
      <c r="A98" s="303" t="s">
        <v>1032</v>
      </c>
      <c r="E98" s="10"/>
      <c r="F98" s="1446"/>
      <c r="G98" s="1447"/>
      <c r="H98" s="1442" t="s">
        <v>160</v>
      </c>
      <c r="I98" s="1454"/>
      <c r="J98" s="1455"/>
      <c r="K98" s="1456"/>
      <c r="L98" s="1169"/>
      <c r="M98" s="1170"/>
      <c r="N98" s="675"/>
      <c r="O98" s="676"/>
      <c r="P98" s="110" t="s">
        <v>1079</v>
      </c>
      <c r="Q98" s="676"/>
      <c r="R98" s="676"/>
      <c r="S98" s="676"/>
      <c r="T98" s="676"/>
      <c r="U98" s="676"/>
      <c r="V98" s="676"/>
      <c r="W98" s="676"/>
      <c r="X98" s="676"/>
      <c r="Y98" s="676"/>
      <c r="Z98" s="676"/>
      <c r="AA98" s="676"/>
      <c r="AB98" s="676"/>
      <c r="AC98" s="676"/>
      <c r="AD98" s="676"/>
      <c r="AE98" s="683"/>
      <c r="AF98" s="1457"/>
      <c r="AG98" s="1458"/>
      <c r="AH98" s="1458"/>
      <c r="AI98" s="1457"/>
      <c r="AJ98" s="1458"/>
      <c r="AK98" s="1458"/>
      <c r="AL98" s="714"/>
      <c r="AM98" s="34"/>
      <c r="AN98" s="34"/>
      <c r="AO98" s="34"/>
      <c r="AP98" s="34"/>
      <c r="AQ98" s="34"/>
      <c r="AR98" s="34"/>
      <c r="AS98" s="34"/>
      <c r="AT98" s="34"/>
      <c r="AU98" s="34"/>
      <c r="AV98" s="34"/>
      <c r="AW98" s="34"/>
      <c r="AX98" s="34"/>
      <c r="AY98" s="34"/>
      <c r="AZ98" s="34"/>
      <c r="BA98" s="34"/>
      <c r="BB98" s="34"/>
      <c r="BC98" s="34"/>
      <c r="BD98" s="34"/>
      <c r="BE98" s="34"/>
      <c r="BF98" s="34"/>
    </row>
    <row r="99" spans="1:58" ht="11.25" customHeight="1">
      <c r="A99" s="303" t="s">
        <v>1032</v>
      </c>
      <c r="B99" s="303" t="s">
        <v>1100</v>
      </c>
      <c r="E99" s="10"/>
      <c r="F99" s="1446"/>
      <c r="G99" s="1182" t="s">
        <v>122</v>
      </c>
      <c r="H99" s="1442" t="s">
        <v>1109</v>
      </c>
      <c r="I99" s="1454" t="s">
        <v>1101</v>
      </c>
      <c r="J99" s="1455" t="s">
        <v>1102</v>
      </c>
      <c r="K99" s="1456" t="s">
        <v>1110</v>
      </c>
      <c r="L99" s="1169" t="s">
        <v>19</v>
      </c>
      <c r="M99" s="1170"/>
      <c r="N99" s="1053"/>
      <c r="O99" s="677" t="s">
        <v>382</v>
      </c>
      <c r="P99" s="678"/>
      <c r="Q99" s="678"/>
      <c r="R99" s="678"/>
      <c r="S99" s="678"/>
      <c r="T99" s="678"/>
      <c r="U99" s="678"/>
      <c r="V99" s="678"/>
      <c r="W99" s="678"/>
      <c r="X99" s="678"/>
      <c r="Y99" s="678"/>
      <c r="Z99" s="678"/>
      <c r="AA99" s="678"/>
      <c r="AB99" s="678"/>
      <c r="AC99" s="678"/>
      <c r="AD99" s="678"/>
      <c r="AE99" s="678"/>
      <c r="AF99" s="1457">
        <v>2023</v>
      </c>
      <c r="AG99" s="1458" t="s">
        <v>1070</v>
      </c>
      <c r="AH99" s="1458" t="s">
        <v>1069</v>
      </c>
      <c r="AI99" s="1457">
        <v>2023</v>
      </c>
      <c r="AJ99" s="1458" t="s">
        <v>1070</v>
      </c>
      <c r="AK99" s="1458" t="s">
        <v>1069</v>
      </c>
      <c r="AL99" s="714"/>
      <c r="AM99" s="34"/>
      <c r="AN99" s="34"/>
      <c r="AO99" s="34"/>
      <c r="AP99" s="34"/>
      <c r="AQ99" s="34"/>
      <c r="AR99" s="34"/>
      <c r="AS99" s="34"/>
      <c r="AT99" s="34"/>
      <c r="AU99" s="34"/>
      <c r="AV99" s="34"/>
      <c r="AW99" s="34"/>
      <c r="AX99" s="34"/>
      <c r="AY99" s="34"/>
      <c r="AZ99" s="34"/>
      <c r="BA99" s="34"/>
      <c r="BB99" s="34"/>
      <c r="BC99" s="34"/>
      <c r="BD99" s="34"/>
      <c r="BE99" s="34"/>
      <c r="BF99" s="34"/>
    </row>
    <row r="100" spans="1:58" ht="11.25" customHeight="1">
      <c r="A100" s="303" t="s">
        <v>1032</v>
      </c>
      <c r="E100" s="10"/>
      <c r="F100" s="1446"/>
      <c r="G100" s="1447"/>
      <c r="H100" s="1442" t="s">
        <v>161</v>
      </c>
      <c r="I100" s="1454"/>
      <c r="J100" s="1455"/>
      <c r="K100" s="1456"/>
      <c r="L100" s="1169"/>
      <c r="M100" s="1170"/>
      <c r="N100" s="1459"/>
      <c r="O100" s="1460">
        <v>1</v>
      </c>
      <c r="P100" s="1461" t="s">
        <v>62</v>
      </c>
      <c r="Q100" s="1455" t="s">
        <v>1085</v>
      </c>
      <c r="R100" s="1464" t="s">
        <v>1072</v>
      </c>
      <c r="S100" s="1464" t="s">
        <v>100</v>
      </c>
      <c r="T100" s="1464" t="s">
        <v>100</v>
      </c>
      <c r="U100" s="1464" t="s">
        <v>101</v>
      </c>
      <c r="V100" s="1464" t="s">
        <v>1073</v>
      </c>
      <c r="W100" s="1464" t="s">
        <v>1074</v>
      </c>
      <c r="X100" s="1464" t="s">
        <v>1086</v>
      </c>
      <c r="Y100" s="1464" t="s">
        <v>1087</v>
      </c>
      <c r="Z100" s="675"/>
      <c r="AA100" s="676"/>
      <c r="AB100" s="676"/>
      <c r="AC100" s="680"/>
      <c r="AD100" s="680"/>
      <c r="AE100" s="681"/>
      <c r="AF100" s="1457"/>
      <c r="AG100" s="1458"/>
      <c r="AH100" s="1458"/>
      <c r="AI100" s="1457"/>
      <c r="AJ100" s="1458"/>
      <c r="AK100" s="1458"/>
      <c r="AL100" s="71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32.25" customHeight="1">
      <c r="A101" s="303" t="s">
        <v>1032</v>
      </c>
      <c r="E101" s="10"/>
      <c r="F101" s="1446"/>
      <c r="G101" s="1447"/>
      <c r="H101" s="1442" t="s">
        <v>161</v>
      </c>
      <c r="I101" s="1454"/>
      <c r="J101" s="1455"/>
      <c r="K101" s="1456"/>
      <c r="L101" s="1169"/>
      <c r="M101" s="1170"/>
      <c r="N101" s="1459"/>
      <c r="O101" s="1460"/>
      <c r="P101" s="1462"/>
      <c r="Q101" s="1455"/>
      <c r="R101" s="1415"/>
      <c r="S101" s="1464"/>
      <c r="T101" s="1415"/>
      <c r="U101" s="1415"/>
      <c r="V101" s="1415"/>
      <c r="W101" s="1415"/>
      <c r="X101" s="1415"/>
      <c r="Y101" s="1415"/>
      <c r="Z101" s="987"/>
      <c r="AA101" s="978">
        <v>1</v>
      </c>
      <c r="AB101" s="679" t="s">
        <v>1088</v>
      </c>
      <c r="AC101" s="380">
        <v>22110.18</v>
      </c>
      <c r="AD101" s="679" t="str">
        <f>AB101</f>
        <v xml:space="preserve">     Амортизационные отчисления за исключением переоценки основных средств и нематериальных активов</v>
      </c>
      <c r="AE101" s="380">
        <v>22110.18</v>
      </c>
      <c r="AF101" s="1457"/>
      <c r="AG101" s="1458"/>
      <c r="AH101" s="1458"/>
      <c r="AI101" s="1457"/>
      <c r="AJ101" s="1458"/>
      <c r="AK101" s="1458"/>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1.25" customHeight="1">
      <c r="A102" s="303" t="s">
        <v>1032</v>
      </c>
      <c r="E102" s="10"/>
      <c r="F102" s="1446"/>
      <c r="G102" s="1447"/>
      <c r="H102" s="1442" t="s">
        <v>161</v>
      </c>
      <c r="I102" s="1454"/>
      <c r="J102" s="1455"/>
      <c r="K102" s="1456"/>
      <c r="L102" s="1169"/>
      <c r="M102" s="1170"/>
      <c r="N102" s="1459"/>
      <c r="O102" s="1460"/>
      <c r="P102" s="1463"/>
      <c r="Q102" s="1455"/>
      <c r="R102" s="1415"/>
      <c r="S102" s="1464"/>
      <c r="T102" s="1415"/>
      <c r="U102" s="1415"/>
      <c r="V102" s="1415"/>
      <c r="W102" s="1415"/>
      <c r="X102" s="1415"/>
      <c r="Y102" s="1415"/>
      <c r="Z102" s="675"/>
      <c r="AA102" s="676"/>
      <c r="AB102" s="110" t="s">
        <v>1078</v>
      </c>
      <c r="AC102" s="680"/>
      <c r="AD102" s="680"/>
      <c r="AE102" s="682"/>
      <c r="AF102" s="1457"/>
      <c r="AG102" s="1458"/>
      <c r="AH102" s="1458"/>
      <c r="AI102" s="1457"/>
      <c r="AJ102" s="1458"/>
      <c r="AK102" s="1458"/>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1.25" customHeight="1">
      <c r="A103" s="303" t="s">
        <v>1032</v>
      </c>
      <c r="E103" s="10"/>
      <c r="F103" s="1446"/>
      <c r="G103" s="1447"/>
      <c r="H103" s="1442" t="s">
        <v>161</v>
      </c>
      <c r="I103" s="1454"/>
      <c r="J103" s="1455"/>
      <c r="K103" s="1456"/>
      <c r="L103" s="1169"/>
      <c r="M103" s="1170"/>
      <c r="N103" s="675"/>
      <c r="O103" s="676"/>
      <c r="P103" s="110" t="s">
        <v>1079</v>
      </c>
      <c r="Q103" s="676"/>
      <c r="R103" s="676"/>
      <c r="S103" s="676"/>
      <c r="T103" s="676"/>
      <c r="U103" s="676"/>
      <c r="V103" s="676"/>
      <c r="W103" s="676"/>
      <c r="X103" s="676"/>
      <c r="Y103" s="676"/>
      <c r="Z103" s="676"/>
      <c r="AA103" s="676"/>
      <c r="AB103" s="676"/>
      <c r="AC103" s="676"/>
      <c r="AD103" s="676"/>
      <c r="AE103" s="683"/>
      <c r="AF103" s="1457"/>
      <c r="AG103" s="1458"/>
      <c r="AH103" s="1458"/>
      <c r="AI103" s="1457"/>
      <c r="AJ103" s="1458"/>
      <c r="AK103" s="1458"/>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1.25" customHeight="1">
      <c r="A104" s="303" t="s">
        <v>1032</v>
      </c>
      <c r="B104" s="303" t="s">
        <v>1100</v>
      </c>
      <c r="E104" s="10"/>
      <c r="F104" s="1446"/>
      <c r="G104" s="1182" t="s">
        <v>122</v>
      </c>
      <c r="H104" s="1442" t="s">
        <v>1111</v>
      </c>
      <c r="I104" s="1454" t="s">
        <v>1101</v>
      </c>
      <c r="J104" s="1455" t="s">
        <v>1102</v>
      </c>
      <c r="K104" s="1456" t="s">
        <v>1112</v>
      </c>
      <c r="L104" s="1169" t="s">
        <v>19</v>
      </c>
      <c r="M104" s="1170"/>
      <c r="N104" s="1053"/>
      <c r="O104" s="677" t="s">
        <v>382</v>
      </c>
      <c r="P104" s="678"/>
      <c r="Q104" s="678"/>
      <c r="R104" s="678"/>
      <c r="S104" s="678"/>
      <c r="T104" s="678"/>
      <c r="U104" s="678"/>
      <c r="V104" s="678"/>
      <c r="W104" s="678"/>
      <c r="X104" s="678"/>
      <c r="Y104" s="678"/>
      <c r="Z104" s="678"/>
      <c r="AA104" s="678"/>
      <c r="AB104" s="678"/>
      <c r="AC104" s="678"/>
      <c r="AD104" s="678"/>
      <c r="AE104" s="678"/>
      <c r="AF104" s="1457">
        <v>2023</v>
      </c>
      <c r="AG104" s="1458" t="s">
        <v>1070</v>
      </c>
      <c r="AH104" s="1458" t="s">
        <v>1069</v>
      </c>
      <c r="AI104" s="1457">
        <v>2023</v>
      </c>
      <c r="AJ104" s="1458" t="s">
        <v>1070</v>
      </c>
      <c r="AK104" s="1458" t="s">
        <v>1069</v>
      </c>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1.25" customHeight="1">
      <c r="A105" s="303" t="s">
        <v>1032</v>
      </c>
      <c r="E105" s="10"/>
      <c r="F105" s="1446"/>
      <c r="G105" s="1447"/>
      <c r="H105" s="1442" t="s">
        <v>1109</v>
      </c>
      <c r="I105" s="1454"/>
      <c r="J105" s="1455"/>
      <c r="K105" s="1456"/>
      <c r="L105" s="1169"/>
      <c r="M105" s="1170"/>
      <c r="N105" s="1459"/>
      <c r="O105" s="1460">
        <v>1</v>
      </c>
      <c r="P105" s="1461" t="s">
        <v>62</v>
      </c>
      <c r="Q105" s="1455" t="s">
        <v>1071</v>
      </c>
      <c r="R105" s="1464" t="s">
        <v>1072</v>
      </c>
      <c r="S105" s="1464" t="s">
        <v>100</v>
      </c>
      <c r="T105" s="1464" t="s">
        <v>100</v>
      </c>
      <c r="U105" s="1464" t="s">
        <v>101</v>
      </c>
      <c r="V105" s="1464" t="s">
        <v>1073</v>
      </c>
      <c r="W105" s="1464" t="s">
        <v>1074</v>
      </c>
      <c r="X105" s="1464" t="s">
        <v>1075</v>
      </c>
      <c r="Y105" s="1464" t="s">
        <v>1076</v>
      </c>
      <c r="Z105" s="675"/>
      <c r="AA105" s="676"/>
      <c r="AB105" s="676"/>
      <c r="AC105" s="680"/>
      <c r="AD105" s="680"/>
      <c r="AE105" s="681"/>
      <c r="AF105" s="1457"/>
      <c r="AG105" s="1458"/>
      <c r="AH105" s="1458"/>
      <c r="AI105" s="1457"/>
      <c r="AJ105" s="1458"/>
      <c r="AK105" s="1458"/>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3.5" customHeight="1">
      <c r="A106" s="303" t="s">
        <v>1032</v>
      </c>
      <c r="E106" s="10"/>
      <c r="F106" s="1446"/>
      <c r="G106" s="1447"/>
      <c r="H106" s="1442" t="s">
        <v>1109</v>
      </c>
      <c r="I106" s="1454"/>
      <c r="J106" s="1455"/>
      <c r="K106" s="1456"/>
      <c r="L106" s="1169"/>
      <c r="M106" s="1170"/>
      <c r="N106" s="1459"/>
      <c r="O106" s="1460"/>
      <c r="P106" s="1462"/>
      <c r="Q106" s="1455"/>
      <c r="R106" s="1415"/>
      <c r="S106" s="1464"/>
      <c r="T106" s="1415"/>
      <c r="U106" s="1415"/>
      <c r="V106" s="1415"/>
      <c r="W106" s="1415"/>
      <c r="X106" s="1415"/>
      <c r="Y106" s="1415"/>
      <c r="Z106" s="987"/>
      <c r="AA106" s="978">
        <v>1</v>
      </c>
      <c r="AB106" s="679" t="s">
        <v>1094</v>
      </c>
      <c r="AC106" s="380">
        <v>20677.150000000001</v>
      </c>
      <c r="AD106" s="679" t="str">
        <f>AB106</f>
        <v xml:space="preserve">  Кредиты</v>
      </c>
      <c r="AE106" s="380">
        <v>10032.870000000001</v>
      </c>
      <c r="AF106" s="1457"/>
      <c r="AG106" s="1458"/>
      <c r="AH106" s="1458"/>
      <c r="AI106" s="1457"/>
      <c r="AJ106" s="1458"/>
      <c r="AK106" s="1458"/>
      <c r="AL106" s="71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32.25" customHeight="1">
      <c r="A107" s="303" t="s">
        <v>1032</v>
      </c>
      <c r="E107" s="10"/>
      <c r="F107" s="1447"/>
      <c r="G107" s="1447"/>
      <c r="H107" s="1447"/>
      <c r="I107" s="1447"/>
      <c r="J107" s="1447"/>
      <c r="K107" s="1447"/>
      <c r="L107" s="1447"/>
      <c r="M107" s="1447"/>
      <c r="N107" s="1447"/>
      <c r="O107" s="1447"/>
      <c r="P107" s="1447"/>
      <c r="Q107" s="1447"/>
      <c r="R107" s="1447"/>
      <c r="S107" s="1447"/>
      <c r="T107" s="1447"/>
      <c r="U107" s="1447"/>
      <c r="V107" s="1447"/>
      <c r="W107" s="1447"/>
      <c r="X107" s="1447"/>
      <c r="Y107" s="1447"/>
      <c r="Z107" s="87" t="s">
        <v>122</v>
      </c>
      <c r="AA107" s="982" t="s">
        <v>110</v>
      </c>
      <c r="AB107" s="679" t="s">
        <v>1088</v>
      </c>
      <c r="AC107" s="380">
        <v>0</v>
      </c>
      <c r="AD107" s="679" t="str">
        <f>AB107</f>
        <v xml:space="preserve">     Амортизационные отчисления за исключением переоценки основных средств и нематериальных активов</v>
      </c>
      <c r="AE107" s="380">
        <v>10340.16</v>
      </c>
      <c r="AF107" s="1479"/>
      <c r="AG107" s="1477"/>
      <c r="AH107" s="1477"/>
      <c r="AI107" s="1479"/>
      <c r="AJ107" s="1477"/>
      <c r="AK107" s="1478"/>
      <c r="AL107" s="71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1.25" customHeight="1">
      <c r="A108" s="303" t="s">
        <v>1032</v>
      </c>
      <c r="E108" s="10"/>
      <c r="F108" s="1447"/>
      <c r="G108" s="1447"/>
      <c r="H108" s="1447"/>
      <c r="I108" s="1447"/>
      <c r="J108" s="1447"/>
      <c r="K108" s="1447"/>
      <c r="L108" s="1447"/>
      <c r="M108" s="1447"/>
      <c r="N108" s="1447"/>
      <c r="O108" s="1447"/>
      <c r="P108" s="1447"/>
      <c r="Q108" s="1447"/>
      <c r="R108" s="1447"/>
      <c r="S108" s="1447"/>
      <c r="T108" s="1447"/>
      <c r="U108" s="1447"/>
      <c r="V108" s="1447"/>
      <c r="W108" s="1447"/>
      <c r="X108" s="1447"/>
      <c r="Y108" s="1447"/>
      <c r="Z108" s="87" t="s">
        <v>122</v>
      </c>
      <c r="AA108" s="982" t="s">
        <v>90</v>
      </c>
      <c r="AB108" s="679" t="s">
        <v>1108</v>
      </c>
      <c r="AC108" s="380">
        <v>0</v>
      </c>
      <c r="AD108" s="679" t="str">
        <f>AB108</f>
        <v xml:space="preserve">  Прочие</v>
      </c>
      <c r="AE108" s="380">
        <v>304.12</v>
      </c>
      <c r="AF108" s="1479"/>
      <c r="AG108" s="1477"/>
      <c r="AH108" s="1477"/>
      <c r="AI108" s="1479"/>
      <c r="AJ108" s="1477"/>
      <c r="AK108" s="1478"/>
      <c r="AL108" s="71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1.25" customHeight="1">
      <c r="A109" s="303" t="s">
        <v>1032</v>
      </c>
      <c r="E109" s="10"/>
      <c r="F109" s="1446"/>
      <c r="G109" s="1447"/>
      <c r="H109" s="1442" t="s">
        <v>1109</v>
      </c>
      <c r="I109" s="1454"/>
      <c r="J109" s="1455"/>
      <c r="K109" s="1456"/>
      <c r="L109" s="1169"/>
      <c r="M109" s="1170"/>
      <c r="N109" s="1459"/>
      <c r="O109" s="1460"/>
      <c r="P109" s="1463"/>
      <c r="Q109" s="1455"/>
      <c r="R109" s="1415"/>
      <c r="S109" s="1464"/>
      <c r="T109" s="1415"/>
      <c r="U109" s="1415"/>
      <c r="V109" s="1415"/>
      <c r="W109" s="1415"/>
      <c r="X109" s="1415"/>
      <c r="Y109" s="1415"/>
      <c r="Z109" s="675"/>
      <c r="AA109" s="676"/>
      <c r="AB109" s="110" t="s">
        <v>1078</v>
      </c>
      <c r="AC109" s="680"/>
      <c r="AD109" s="680"/>
      <c r="AE109" s="682"/>
      <c r="AF109" s="1457"/>
      <c r="AG109" s="1458"/>
      <c r="AH109" s="1458"/>
      <c r="AI109" s="1457"/>
      <c r="AJ109" s="1458"/>
      <c r="AK109" s="1458"/>
      <c r="AL109" s="71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1.25" customHeight="1">
      <c r="A110" s="303" t="s">
        <v>1032</v>
      </c>
      <c r="E110" s="10"/>
      <c r="F110" s="1446"/>
      <c r="G110" s="1447"/>
      <c r="H110" s="1442" t="s">
        <v>1109</v>
      </c>
      <c r="I110" s="1454"/>
      <c r="J110" s="1455"/>
      <c r="K110" s="1456"/>
      <c r="L110" s="1169"/>
      <c r="M110" s="1170"/>
      <c r="N110" s="675"/>
      <c r="O110" s="676"/>
      <c r="P110" s="110" t="s">
        <v>1079</v>
      </c>
      <c r="Q110" s="676"/>
      <c r="R110" s="676"/>
      <c r="S110" s="676"/>
      <c r="T110" s="676"/>
      <c r="U110" s="676"/>
      <c r="V110" s="676"/>
      <c r="W110" s="676"/>
      <c r="X110" s="676"/>
      <c r="Y110" s="676"/>
      <c r="Z110" s="676"/>
      <c r="AA110" s="676"/>
      <c r="AB110" s="676"/>
      <c r="AC110" s="676"/>
      <c r="AD110" s="676"/>
      <c r="AE110" s="683"/>
      <c r="AF110" s="1457"/>
      <c r="AG110" s="1458"/>
      <c r="AH110" s="1458"/>
      <c r="AI110" s="1457"/>
      <c r="AJ110" s="1458"/>
      <c r="AK110" s="1458"/>
      <c r="AL110" s="71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1.25" customHeight="1">
      <c r="A111" s="303" t="s">
        <v>1032</v>
      </c>
      <c r="B111" s="303" t="s">
        <v>1100</v>
      </c>
      <c r="E111" s="10"/>
      <c r="F111" s="1446"/>
      <c r="G111" s="1182" t="s">
        <v>122</v>
      </c>
      <c r="H111" s="1442" t="s">
        <v>1113</v>
      </c>
      <c r="I111" s="1454" t="s">
        <v>1101</v>
      </c>
      <c r="J111" s="1455" t="s">
        <v>1102</v>
      </c>
      <c r="K111" s="1456" t="s">
        <v>1114</v>
      </c>
      <c r="L111" s="1169" t="s">
        <v>19</v>
      </c>
      <c r="M111" s="1170"/>
      <c r="N111" s="1053"/>
      <c r="O111" s="677" t="s">
        <v>382</v>
      </c>
      <c r="P111" s="678"/>
      <c r="Q111" s="678"/>
      <c r="R111" s="678"/>
      <c r="S111" s="678"/>
      <c r="T111" s="678"/>
      <c r="U111" s="678"/>
      <c r="V111" s="678"/>
      <c r="W111" s="678"/>
      <c r="X111" s="678"/>
      <c r="Y111" s="678"/>
      <c r="Z111" s="678"/>
      <c r="AA111" s="678"/>
      <c r="AB111" s="678"/>
      <c r="AC111" s="678"/>
      <c r="AD111" s="678"/>
      <c r="AE111" s="678"/>
      <c r="AF111" s="1457">
        <v>2023</v>
      </c>
      <c r="AG111" s="1458" t="s">
        <v>1115</v>
      </c>
      <c r="AH111" s="1458" t="s">
        <v>1106</v>
      </c>
      <c r="AI111" s="1457">
        <v>2024</v>
      </c>
      <c r="AJ111" s="1458" t="s">
        <v>1115</v>
      </c>
      <c r="AK111" s="1458" t="s">
        <v>1106</v>
      </c>
      <c r="AL111" s="71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1.25" customHeight="1">
      <c r="A112" s="303" t="s">
        <v>1032</v>
      </c>
      <c r="E112" s="10"/>
      <c r="F112" s="1446"/>
      <c r="G112" s="1447"/>
      <c r="H112" s="1442" t="s">
        <v>1111</v>
      </c>
      <c r="I112" s="1454"/>
      <c r="J112" s="1455"/>
      <c r="K112" s="1456"/>
      <c r="L112" s="1169"/>
      <c r="M112" s="1170"/>
      <c r="N112" s="1459"/>
      <c r="O112" s="1460">
        <v>1</v>
      </c>
      <c r="P112" s="1461" t="s">
        <v>62</v>
      </c>
      <c r="Q112" s="1455" t="s">
        <v>1085</v>
      </c>
      <c r="R112" s="1464" t="s">
        <v>1072</v>
      </c>
      <c r="S112" s="1464" t="s">
        <v>100</v>
      </c>
      <c r="T112" s="1464" t="s">
        <v>100</v>
      </c>
      <c r="U112" s="1464" t="s">
        <v>101</v>
      </c>
      <c r="V112" s="1464" t="s">
        <v>1073</v>
      </c>
      <c r="W112" s="1464" t="s">
        <v>1074</v>
      </c>
      <c r="X112" s="1464" t="s">
        <v>1086</v>
      </c>
      <c r="Y112" s="1464" t="s">
        <v>1087</v>
      </c>
      <c r="Z112" s="675"/>
      <c r="AA112" s="676"/>
      <c r="AB112" s="676"/>
      <c r="AC112" s="680"/>
      <c r="AD112" s="680"/>
      <c r="AE112" s="681"/>
      <c r="AF112" s="1457"/>
      <c r="AG112" s="1458"/>
      <c r="AH112" s="1458"/>
      <c r="AI112" s="1457"/>
      <c r="AJ112" s="1458"/>
      <c r="AK112" s="1458"/>
      <c r="AL112" s="71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32.25" customHeight="1">
      <c r="A113" s="303" t="s">
        <v>1032</v>
      </c>
      <c r="E113" s="10"/>
      <c r="F113" s="1446"/>
      <c r="G113" s="1447"/>
      <c r="H113" s="1442" t="s">
        <v>1111</v>
      </c>
      <c r="I113" s="1454"/>
      <c r="J113" s="1455"/>
      <c r="K113" s="1456"/>
      <c r="L113" s="1169"/>
      <c r="M113" s="1170"/>
      <c r="N113" s="1459"/>
      <c r="O113" s="1460"/>
      <c r="P113" s="1462"/>
      <c r="Q113" s="1455"/>
      <c r="R113" s="1415"/>
      <c r="S113" s="1464"/>
      <c r="T113" s="1415"/>
      <c r="U113" s="1415"/>
      <c r="V113" s="1415"/>
      <c r="W113" s="1415"/>
      <c r="X113" s="1415"/>
      <c r="Y113" s="1415"/>
      <c r="Z113" s="987"/>
      <c r="AA113" s="978">
        <v>1</v>
      </c>
      <c r="AB113" s="679" t="s">
        <v>1088</v>
      </c>
      <c r="AC113" s="380">
        <v>676.86</v>
      </c>
      <c r="AD113" s="679" t="str">
        <f>AB113</f>
        <v xml:space="preserve">     Амортизационные отчисления за исключением переоценки основных средств и нематериальных активов</v>
      </c>
      <c r="AE113" s="380">
        <v>676.86</v>
      </c>
      <c r="AF113" s="1457"/>
      <c r="AG113" s="1458"/>
      <c r="AH113" s="1458"/>
      <c r="AI113" s="1457"/>
      <c r="AJ113" s="1458"/>
      <c r="AK113" s="1458"/>
      <c r="AL113" s="71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1.25" customHeight="1">
      <c r="A114" s="303" t="s">
        <v>1032</v>
      </c>
      <c r="E114" s="10"/>
      <c r="F114" s="1446"/>
      <c r="G114" s="1447"/>
      <c r="H114" s="1442" t="s">
        <v>1111</v>
      </c>
      <c r="I114" s="1454"/>
      <c r="J114" s="1455"/>
      <c r="K114" s="1456"/>
      <c r="L114" s="1169"/>
      <c r="M114" s="1170"/>
      <c r="N114" s="1459"/>
      <c r="O114" s="1460"/>
      <c r="P114" s="1463"/>
      <c r="Q114" s="1455"/>
      <c r="R114" s="1415"/>
      <c r="S114" s="1464"/>
      <c r="T114" s="1415"/>
      <c r="U114" s="1415"/>
      <c r="V114" s="1415"/>
      <c r="W114" s="1415"/>
      <c r="X114" s="1415"/>
      <c r="Y114" s="1415"/>
      <c r="Z114" s="675"/>
      <c r="AA114" s="676"/>
      <c r="AB114" s="110" t="s">
        <v>1078</v>
      </c>
      <c r="AC114" s="680"/>
      <c r="AD114" s="680"/>
      <c r="AE114" s="682"/>
      <c r="AF114" s="1457"/>
      <c r="AG114" s="1458"/>
      <c r="AH114" s="1458"/>
      <c r="AI114" s="1457"/>
      <c r="AJ114" s="1458"/>
      <c r="AK114" s="1458"/>
      <c r="AL114" s="71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1.25" customHeight="1">
      <c r="A115" s="303" t="s">
        <v>1032</v>
      </c>
      <c r="E115" s="10"/>
      <c r="F115" s="1446"/>
      <c r="G115" s="1447"/>
      <c r="H115" s="1442" t="s">
        <v>1111</v>
      </c>
      <c r="I115" s="1454"/>
      <c r="J115" s="1455"/>
      <c r="K115" s="1456"/>
      <c r="L115" s="1169"/>
      <c r="M115" s="1170"/>
      <c r="N115" s="675"/>
      <c r="O115" s="676"/>
      <c r="P115" s="110" t="s">
        <v>1079</v>
      </c>
      <c r="Q115" s="676"/>
      <c r="R115" s="676"/>
      <c r="S115" s="676"/>
      <c r="T115" s="676"/>
      <c r="U115" s="676"/>
      <c r="V115" s="676"/>
      <c r="W115" s="676"/>
      <c r="X115" s="676"/>
      <c r="Y115" s="676"/>
      <c r="Z115" s="676"/>
      <c r="AA115" s="676"/>
      <c r="AB115" s="676"/>
      <c r="AC115" s="676"/>
      <c r="AD115" s="676"/>
      <c r="AE115" s="683"/>
      <c r="AF115" s="1457"/>
      <c r="AG115" s="1458"/>
      <c r="AH115" s="1458"/>
      <c r="AI115" s="1457"/>
      <c r="AJ115" s="1458"/>
      <c r="AK115" s="1458"/>
      <c r="AL115" s="71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1.25" customHeight="1">
      <c r="A116" s="303" t="s">
        <v>1032</v>
      </c>
      <c r="B116" s="303" t="s">
        <v>1100</v>
      </c>
      <c r="E116" s="10"/>
      <c r="F116" s="1446"/>
      <c r="G116" s="1182" t="s">
        <v>122</v>
      </c>
      <c r="H116" s="1442" t="s">
        <v>1116</v>
      </c>
      <c r="I116" s="1454" t="s">
        <v>1101</v>
      </c>
      <c r="J116" s="1455" t="s">
        <v>1102</v>
      </c>
      <c r="K116" s="1456" t="s">
        <v>1117</v>
      </c>
      <c r="L116" s="1169" t="s">
        <v>19</v>
      </c>
      <c r="M116" s="1170"/>
      <c r="N116" s="1053"/>
      <c r="O116" s="677" t="s">
        <v>382</v>
      </c>
      <c r="P116" s="678"/>
      <c r="Q116" s="678"/>
      <c r="R116" s="678"/>
      <c r="S116" s="678"/>
      <c r="T116" s="678"/>
      <c r="U116" s="678"/>
      <c r="V116" s="678"/>
      <c r="W116" s="678"/>
      <c r="X116" s="678"/>
      <c r="Y116" s="678"/>
      <c r="Z116" s="678"/>
      <c r="AA116" s="678"/>
      <c r="AB116" s="678"/>
      <c r="AC116" s="678"/>
      <c r="AD116" s="678"/>
      <c r="AE116" s="678"/>
      <c r="AF116" s="1457">
        <v>2023</v>
      </c>
      <c r="AG116" s="1458" t="s">
        <v>1081</v>
      </c>
      <c r="AH116" s="1458" t="s">
        <v>1069</v>
      </c>
      <c r="AI116" s="1466"/>
      <c r="AJ116" s="1458" t="s">
        <v>1084</v>
      </c>
      <c r="AK116" s="1458" t="s">
        <v>1084</v>
      </c>
      <c r="AL116" s="71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1.25" customHeight="1">
      <c r="A117" s="303" t="s">
        <v>1032</v>
      </c>
      <c r="E117" s="10"/>
      <c r="F117" s="1446"/>
      <c r="G117" s="1447"/>
      <c r="H117" s="1442" t="s">
        <v>1113</v>
      </c>
      <c r="I117" s="1454"/>
      <c r="J117" s="1455"/>
      <c r="K117" s="1456"/>
      <c r="L117" s="1169"/>
      <c r="M117" s="1170"/>
      <c r="N117" s="1459"/>
      <c r="O117" s="1460">
        <v>1</v>
      </c>
      <c r="P117" s="1461" t="s">
        <v>62</v>
      </c>
      <c r="Q117" s="1455" t="s">
        <v>1071</v>
      </c>
      <c r="R117" s="1464" t="s">
        <v>1072</v>
      </c>
      <c r="S117" s="1464" t="s">
        <v>100</v>
      </c>
      <c r="T117" s="1464" t="s">
        <v>100</v>
      </c>
      <c r="U117" s="1464" t="s">
        <v>101</v>
      </c>
      <c r="V117" s="1464" t="s">
        <v>1073</v>
      </c>
      <c r="W117" s="1464" t="s">
        <v>1074</v>
      </c>
      <c r="X117" s="1464" t="s">
        <v>1075</v>
      </c>
      <c r="Y117" s="1464" t="s">
        <v>1076</v>
      </c>
      <c r="Z117" s="675"/>
      <c r="AA117" s="676"/>
      <c r="AB117" s="676"/>
      <c r="AC117" s="680"/>
      <c r="AD117" s="680"/>
      <c r="AE117" s="681"/>
      <c r="AF117" s="1457"/>
      <c r="AG117" s="1458"/>
      <c r="AH117" s="1458"/>
      <c r="AI117" s="1466"/>
      <c r="AJ117" s="1458"/>
      <c r="AK117" s="1458"/>
      <c r="AL117" s="71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32.25" customHeight="1">
      <c r="A118" s="303" t="s">
        <v>1032</v>
      </c>
      <c r="E118" s="10"/>
      <c r="F118" s="1446"/>
      <c r="G118" s="1447"/>
      <c r="H118" s="1442" t="s">
        <v>1113</v>
      </c>
      <c r="I118" s="1454"/>
      <c r="J118" s="1455"/>
      <c r="K118" s="1456"/>
      <c r="L118" s="1169"/>
      <c r="M118" s="1170"/>
      <c r="N118" s="1459"/>
      <c r="O118" s="1460"/>
      <c r="P118" s="1462"/>
      <c r="Q118" s="1455"/>
      <c r="R118" s="1415"/>
      <c r="S118" s="1464"/>
      <c r="T118" s="1415"/>
      <c r="U118" s="1415"/>
      <c r="V118" s="1415"/>
      <c r="W118" s="1415"/>
      <c r="X118" s="1415"/>
      <c r="Y118" s="1415"/>
      <c r="Z118" s="987"/>
      <c r="AA118" s="978">
        <v>1</v>
      </c>
      <c r="AB118" s="679" t="s">
        <v>1088</v>
      </c>
      <c r="AC118" s="380">
        <v>6000</v>
      </c>
      <c r="AD118" s="679" t="str">
        <f>AB118</f>
        <v xml:space="preserve">     Амортизационные отчисления за исключением переоценки основных средств и нематериальных активов</v>
      </c>
      <c r="AE118" s="380">
        <v>0</v>
      </c>
      <c r="AF118" s="1457"/>
      <c r="AG118" s="1458"/>
      <c r="AH118" s="1458"/>
      <c r="AI118" s="1466"/>
      <c r="AJ118" s="1458"/>
      <c r="AK118" s="1458"/>
      <c r="AL118" s="71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1.25" customHeight="1">
      <c r="A119" s="303" t="s">
        <v>1032</v>
      </c>
      <c r="E119" s="10"/>
      <c r="F119" s="1446"/>
      <c r="G119" s="1447"/>
      <c r="H119" s="1442" t="s">
        <v>1113</v>
      </c>
      <c r="I119" s="1454"/>
      <c r="J119" s="1455"/>
      <c r="K119" s="1456"/>
      <c r="L119" s="1169"/>
      <c r="M119" s="1170"/>
      <c r="N119" s="1459"/>
      <c r="O119" s="1460"/>
      <c r="P119" s="1463"/>
      <c r="Q119" s="1455"/>
      <c r="R119" s="1415"/>
      <c r="S119" s="1464"/>
      <c r="T119" s="1415"/>
      <c r="U119" s="1415"/>
      <c r="V119" s="1415"/>
      <c r="W119" s="1415"/>
      <c r="X119" s="1415"/>
      <c r="Y119" s="1415"/>
      <c r="Z119" s="675"/>
      <c r="AA119" s="676"/>
      <c r="AB119" s="110" t="s">
        <v>1078</v>
      </c>
      <c r="AC119" s="680"/>
      <c r="AD119" s="680"/>
      <c r="AE119" s="682"/>
      <c r="AF119" s="1457"/>
      <c r="AG119" s="1458"/>
      <c r="AH119" s="1458"/>
      <c r="AI119" s="1466"/>
      <c r="AJ119" s="1458"/>
      <c r="AK119" s="1458"/>
      <c r="AL119" s="71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1.25" customHeight="1">
      <c r="A120" s="303" t="s">
        <v>1032</v>
      </c>
      <c r="E120" s="10"/>
      <c r="F120" s="1446"/>
      <c r="G120" s="1447"/>
      <c r="H120" s="1442" t="s">
        <v>1113</v>
      </c>
      <c r="I120" s="1454"/>
      <c r="J120" s="1455"/>
      <c r="K120" s="1456"/>
      <c r="L120" s="1169"/>
      <c r="M120" s="1170"/>
      <c r="N120" s="675"/>
      <c r="O120" s="676"/>
      <c r="P120" s="110" t="s">
        <v>1079</v>
      </c>
      <c r="Q120" s="676"/>
      <c r="R120" s="676"/>
      <c r="S120" s="676"/>
      <c r="T120" s="676"/>
      <c r="U120" s="676"/>
      <c r="V120" s="676"/>
      <c r="W120" s="676"/>
      <c r="X120" s="676"/>
      <c r="Y120" s="676"/>
      <c r="Z120" s="676"/>
      <c r="AA120" s="676"/>
      <c r="AB120" s="676"/>
      <c r="AC120" s="676"/>
      <c r="AD120" s="676"/>
      <c r="AE120" s="683"/>
      <c r="AF120" s="1457"/>
      <c r="AG120" s="1458"/>
      <c r="AH120" s="1458"/>
      <c r="AI120" s="1466"/>
      <c r="AJ120" s="1458"/>
      <c r="AK120" s="1458"/>
      <c r="AL120" s="71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1.25" customHeight="1">
      <c r="A121" s="303" t="s">
        <v>1032</v>
      </c>
      <c r="B121" s="303" t="s">
        <v>1100</v>
      </c>
      <c r="E121" s="10"/>
      <c r="F121" s="1446"/>
      <c r="G121" s="1182" t="s">
        <v>122</v>
      </c>
      <c r="H121" s="1442" t="s">
        <v>1118</v>
      </c>
      <c r="I121" s="1454" t="s">
        <v>1101</v>
      </c>
      <c r="J121" s="1455" t="s">
        <v>1102</v>
      </c>
      <c r="K121" s="1456" t="s">
        <v>1119</v>
      </c>
      <c r="L121" s="1169" t="s">
        <v>19</v>
      </c>
      <c r="M121" s="1170"/>
      <c r="N121" s="1053"/>
      <c r="O121" s="677" t="s">
        <v>382</v>
      </c>
      <c r="P121" s="678"/>
      <c r="Q121" s="678"/>
      <c r="R121" s="678"/>
      <c r="S121" s="678"/>
      <c r="T121" s="678"/>
      <c r="U121" s="678"/>
      <c r="V121" s="678"/>
      <c r="W121" s="678"/>
      <c r="X121" s="678"/>
      <c r="Y121" s="678"/>
      <c r="Z121" s="678"/>
      <c r="AA121" s="678"/>
      <c r="AB121" s="678"/>
      <c r="AC121" s="678"/>
      <c r="AD121" s="678"/>
      <c r="AE121" s="678"/>
      <c r="AF121" s="1457">
        <v>2023</v>
      </c>
      <c r="AG121" s="1458" t="s">
        <v>1081</v>
      </c>
      <c r="AH121" s="1458" t="s">
        <v>1069</v>
      </c>
      <c r="AI121" s="1466"/>
      <c r="AJ121" s="1458" t="s">
        <v>1084</v>
      </c>
      <c r="AK121" s="1458" t="s">
        <v>1084</v>
      </c>
      <c r="AL121" s="71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1.25" customHeight="1">
      <c r="A122" s="303" t="s">
        <v>1032</v>
      </c>
      <c r="E122" s="10"/>
      <c r="F122" s="1446"/>
      <c r="G122" s="1447"/>
      <c r="H122" s="1442" t="s">
        <v>1116</v>
      </c>
      <c r="I122" s="1454"/>
      <c r="J122" s="1455"/>
      <c r="K122" s="1456"/>
      <c r="L122" s="1169"/>
      <c r="M122" s="1170"/>
      <c r="N122" s="1459"/>
      <c r="O122" s="1460">
        <v>1</v>
      </c>
      <c r="P122" s="1461" t="s">
        <v>62</v>
      </c>
      <c r="Q122" s="1455" t="s">
        <v>1071</v>
      </c>
      <c r="R122" s="1464" t="s">
        <v>1072</v>
      </c>
      <c r="S122" s="1464" t="s">
        <v>100</v>
      </c>
      <c r="T122" s="1464" t="s">
        <v>100</v>
      </c>
      <c r="U122" s="1464" t="s">
        <v>101</v>
      </c>
      <c r="V122" s="1464" t="s">
        <v>1073</v>
      </c>
      <c r="W122" s="1464" t="s">
        <v>1074</v>
      </c>
      <c r="X122" s="1464" t="s">
        <v>1075</v>
      </c>
      <c r="Y122" s="1464" t="s">
        <v>1076</v>
      </c>
      <c r="Z122" s="675"/>
      <c r="AA122" s="676"/>
      <c r="AB122" s="676"/>
      <c r="AC122" s="680"/>
      <c r="AD122" s="680"/>
      <c r="AE122" s="681"/>
      <c r="AF122" s="1457"/>
      <c r="AG122" s="1458"/>
      <c r="AH122" s="1458"/>
      <c r="AI122" s="1466"/>
      <c r="AJ122" s="1458"/>
      <c r="AK122" s="1458"/>
      <c r="AL122" s="71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32.25" customHeight="1">
      <c r="A123" s="303" t="s">
        <v>1032</v>
      </c>
      <c r="E123" s="10"/>
      <c r="F123" s="1446"/>
      <c r="G123" s="1447"/>
      <c r="H123" s="1442" t="s">
        <v>1116</v>
      </c>
      <c r="I123" s="1454"/>
      <c r="J123" s="1455"/>
      <c r="K123" s="1456"/>
      <c r="L123" s="1169"/>
      <c r="M123" s="1170"/>
      <c r="N123" s="1459"/>
      <c r="O123" s="1460"/>
      <c r="P123" s="1462"/>
      <c r="Q123" s="1455"/>
      <c r="R123" s="1415"/>
      <c r="S123" s="1464"/>
      <c r="T123" s="1415"/>
      <c r="U123" s="1415"/>
      <c r="V123" s="1415"/>
      <c r="W123" s="1415"/>
      <c r="X123" s="1415"/>
      <c r="Y123" s="1415"/>
      <c r="Z123" s="987"/>
      <c r="AA123" s="978">
        <v>1</v>
      </c>
      <c r="AB123" s="679" t="s">
        <v>1088</v>
      </c>
      <c r="AC123" s="380">
        <v>1122.29</v>
      </c>
      <c r="AD123" s="679" t="str">
        <f>AB123</f>
        <v xml:space="preserve">     Амортизационные отчисления за исключением переоценки основных средств и нематериальных активов</v>
      </c>
      <c r="AE123" s="380">
        <v>0</v>
      </c>
      <c r="AF123" s="1457"/>
      <c r="AG123" s="1458"/>
      <c r="AH123" s="1458"/>
      <c r="AI123" s="1466"/>
      <c r="AJ123" s="1458"/>
      <c r="AK123" s="1458"/>
      <c r="AL123" s="71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1.25" customHeight="1">
      <c r="A124" s="303" t="s">
        <v>1032</v>
      </c>
      <c r="E124" s="10"/>
      <c r="F124" s="1446"/>
      <c r="G124" s="1447"/>
      <c r="H124" s="1442" t="s">
        <v>1116</v>
      </c>
      <c r="I124" s="1454"/>
      <c r="J124" s="1455"/>
      <c r="K124" s="1456"/>
      <c r="L124" s="1169"/>
      <c r="M124" s="1170"/>
      <c r="N124" s="1459"/>
      <c r="O124" s="1460"/>
      <c r="P124" s="1463"/>
      <c r="Q124" s="1455"/>
      <c r="R124" s="1415"/>
      <c r="S124" s="1464"/>
      <c r="T124" s="1415"/>
      <c r="U124" s="1415"/>
      <c r="V124" s="1415"/>
      <c r="W124" s="1415"/>
      <c r="X124" s="1415"/>
      <c r="Y124" s="1415"/>
      <c r="Z124" s="675"/>
      <c r="AA124" s="676"/>
      <c r="AB124" s="110" t="s">
        <v>1078</v>
      </c>
      <c r="AC124" s="680"/>
      <c r="AD124" s="680"/>
      <c r="AE124" s="682"/>
      <c r="AF124" s="1457"/>
      <c r="AG124" s="1458"/>
      <c r="AH124" s="1458"/>
      <c r="AI124" s="1466"/>
      <c r="AJ124" s="1458"/>
      <c r="AK124" s="1458"/>
      <c r="AL124" s="71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1.25" customHeight="1">
      <c r="A125" s="303" t="s">
        <v>1032</v>
      </c>
      <c r="E125" s="10"/>
      <c r="F125" s="1446"/>
      <c r="G125" s="1447"/>
      <c r="H125" s="1442" t="s">
        <v>1116</v>
      </c>
      <c r="I125" s="1454"/>
      <c r="J125" s="1455"/>
      <c r="K125" s="1456"/>
      <c r="L125" s="1169"/>
      <c r="M125" s="1170"/>
      <c r="N125" s="675"/>
      <c r="O125" s="676"/>
      <c r="P125" s="110" t="s">
        <v>1079</v>
      </c>
      <c r="Q125" s="676"/>
      <c r="R125" s="676"/>
      <c r="S125" s="676"/>
      <c r="T125" s="676"/>
      <c r="U125" s="676"/>
      <c r="V125" s="676"/>
      <c r="W125" s="676"/>
      <c r="X125" s="676"/>
      <c r="Y125" s="676"/>
      <c r="Z125" s="676"/>
      <c r="AA125" s="676"/>
      <c r="AB125" s="676"/>
      <c r="AC125" s="676"/>
      <c r="AD125" s="676"/>
      <c r="AE125" s="683"/>
      <c r="AF125" s="1457"/>
      <c r="AG125" s="1458"/>
      <c r="AH125" s="1458"/>
      <c r="AI125" s="1466"/>
      <c r="AJ125" s="1458"/>
      <c r="AK125" s="1458"/>
      <c r="AL125" s="71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8" customHeight="1">
      <c r="A126" s="303" t="s">
        <v>1032</v>
      </c>
      <c r="B126" s="303" t="s">
        <v>1100</v>
      </c>
      <c r="E126" s="10"/>
      <c r="F126" s="1446"/>
      <c r="G126" s="1182" t="s">
        <v>122</v>
      </c>
      <c r="H126" s="1442" t="s">
        <v>1087</v>
      </c>
      <c r="I126" s="1454" t="s">
        <v>1101</v>
      </c>
      <c r="J126" s="1455" t="s">
        <v>1120</v>
      </c>
      <c r="K126" s="1456" t="s">
        <v>1121</v>
      </c>
      <c r="L126" s="1169" t="s">
        <v>19</v>
      </c>
      <c r="M126" s="1170"/>
      <c r="N126" s="1053"/>
      <c r="O126" s="677" t="s">
        <v>382</v>
      </c>
      <c r="P126" s="678"/>
      <c r="Q126" s="678"/>
      <c r="R126" s="678"/>
      <c r="S126" s="678"/>
      <c r="T126" s="678"/>
      <c r="U126" s="678"/>
      <c r="V126" s="678"/>
      <c r="W126" s="678"/>
      <c r="X126" s="678"/>
      <c r="Y126" s="678"/>
      <c r="Z126" s="678"/>
      <c r="AA126" s="678"/>
      <c r="AB126" s="678"/>
      <c r="AC126" s="678"/>
      <c r="AD126" s="678"/>
      <c r="AE126" s="678"/>
      <c r="AF126" s="1457">
        <v>2023</v>
      </c>
      <c r="AG126" s="1458" t="s">
        <v>1070</v>
      </c>
      <c r="AH126" s="1458" t="s">
        <v>1122</v>
      </c>
      <c r="AI126" s="1466"/>
      <c r="AJ126" s="1458" t="s">
        <v>1084</v>
      </c>
      <c r="AK126" s="1458" t="s">
        <v>1084</v>
      </c>
      <c r="AL126" s="71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8" customHeight="1">
      <c r="A127" s="303" t="s">
        <v>1032</v>
      </c>
      <c r="E127" s="10"/>
      <c r="F127" s="1446"/>
      <c r="G127" s="1447"/>
      <c r="H127" s="1442" t="s">
        <v>1118</v>
      </c>
      <c r="I127" s="1454"/>
      <c r="J127" s="1455"/>
      <c r="K127" s="1456"/>
      <c r="L127" s="1169"/>
      <c r="M127" s="1170"/>
      <c r="N127" s="1459"/>
      <c r="O127" s="1460">
        <v>1</v>
      </c>
      <c r="P127" s="1461" t="s">
        <v>62</v>
      </c>
      <c r="Q127" s="1455" t="s">
        <v>1085</v>
      </c>
      <c r="R127" s="1464" t="s">
        <v>1072</v>
      </c>
      <c r="S127" s="1464" t="s">
        <v>100</v>
      </c>
      <c r="T127" s="1464" t="s">
        <v>100</v>
      </c>
      <c r="U127" s="1464" t="s">
        <v>101</v>
      </c>
      <c r="V127" s="1464" t="s">
        <v>1073</v>
      </c>
      <c r="W127" s="1464" t="s">
        <v>1074</v>
      </c>
      <c r="X127" s="1464" t="s">
        <v>1086</v>
      </c>
      <c r="Y127" s="1464" t="s">
        <v>1087</v>
      </c>
      <c r="Z127" s="675"/>
      <c r="AA127" s="676"/>
      <c r="AB127" s="676"/>
      <c r="AC127" s="680"/>
      <c r="AD127" s="680"/>
      <c r="AE127" s="681"/>
      <c r="AF127" s="1457"/>
      <c r="AG127" s="1458"/>
      <c r="AH127" s="1458"/>
      <c r="AI127" s="1466"/>
      <c r="AJ127" s="1458"/>
      <c r="AK127" s="1458"/>
      <c r="AL127" s="71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8" customHeight="1">
      <c r="A128" s="303" t="s">
        <v>1032</v>
      </c>
      <c r="E128" s="10"/>
      <c r="F128" s="1446"/>
      <c r="G128" s="1447"/>
      <c r="H128" s="1442" t="s">
        <v>1118</v>
      </c>
      <c r="I128" s="1454"/>
      <c r="J128" s="1455"/>
      <c r="K128" s="1456"/>
      <c r="L128" s="1169"/>
      <c r="M128" s="1170"/>
      <c r="N128" s="1459"/>
      <c r="O128" s="1460"/>
      <c r="P128" s="1462"/>
      <c r="Q128" s="1455"/>
      <c r="R128" s="1415"/>
      <c r="S128" s="1464"/>
      <c r="T128" s="1415"/>
      <c r="U128" s="1415"/>
      <c r="V128" s="1415"/>
      <c r="W128" s="1415"/>
      <c r="X128" s="1415"/>
      <c r="Y128" s="1415"/>
      <c r="Z128" s="987"/>
      <c r="AA128" s="978">
        <v>1</v>
      </c>
      <c r="AB128" s="679" t="s">
        <v>1094</v>
      </c>
      <c r="AC128" s="380">
        <v>50498.07</v>
      </c>
      <c r="AD128" s="679" t="str">
        <f>AB128</f>
        <v xml:space="preserve">  Кредиты</v>
      </c>
      <c r="AE128" s="380">
        <v>50498.07</v>
      </c>
      <c r="AF128" s="1457"/>
      <c r="AG128" s="1458"/>
      <c r="AH128" s="1458"/>
      <c r="AI128" s="1466"/>
      <c r="AJ128" s="1458"/>
      <c r="AK128" s="1458"/>
      <c r="AL128" s="71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8" customHeight="1">
      <c r="A129" s="303" t="s">
        <v>1032</v>
      </c>
      <c r="E129" s="10"/>
      <c r="F129" s="1446"/>
      <c r="G129" s="1447"/>
      <c r="H129" s="1442" t="s">
        <v>1118</v>
      </c>
      <c r="I129" s="1454"/>
      <c r="J129" s="1455"/>
      <c r="K129" s="1456"/>
      <c r="L129" s="1169"/>
      <c r="M129" s="1170"/>
      <c r="N129" s="1459"/>
      <c r="O129" s="1460"/>
      <c r="P129" s="1463"/>
      <c r="Q129" s="1455"/>
      <c r="R129" s="1415"/>
      <c r="S129" s="1464"/>
      <c r="T129" s="1415"/>
      <c r="U129" s="1415"/>
      <c r="V129" s="1415"/>
      <c r="W129" s="1415"/>
      <c r="X129" s="1415"/>
      <c r="Y129" s="1415"/>
      <c r="Z129" s="675"/>
      <c r="AA129" s="676"/>
      <c r="AB129" s="110" t="s">
        <v>1078</v>
      </c>
      <c r="AC129" s="680"/>
      <c r="AD129" s="680"/>
      <c r="AE129" s="682"/>
      <c r="AF129" s="1457"/>
      <c r="AG129" s="1458"/>
      <c r="AH129" s="1458"/>
      <c r="AI129" s="1466"/>
      <c r="AJ129" s="1458"/>
      <c r="AK129" s="1458"/>
      <c r="AL129" s="71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8" customHeight="1">
      <c r="A130" s="303" t="s">
        <v>1032</v>
      </c>
      <c r="E130" s="10"/>
      <c r="F130" s="1446"/>
      <c r="G130" s="1447"/>
      <c r="H130" s="1442" t="s">
        <v>1118</v>
      </c>
      <c r="I130" s="1454"/>
      <c r="J130" s="1455"/>
      <c r="K130" s="1456"/>
      <c r="L130" s="1169"/>
      <c r="M130" s="1170"/>
      <c r="N130" s="675"/>
      <c r="O130" s="676"/>
      <c r="P130" s="110" t="s">
        <v>1079</v>
      </c>
      <c r="Q130" s="676"/>
      <c r="R130" s="676"/>
      <c r="S130" s="676"/>
      <c r="T130" s="676"/>
      <c r="U130" s="676"/>
      <c r="V130" s="676"/>
      <c r="W130" s="676"/>
      <c r="X130" s="676"/>
      <c r="Y130" s="676"/>
      <c r="Z130" s="676"/>
      <c r="AA130" s="676"/>
      <c r="AB130" s="676"/>
      <c r="AC130" s="676"/>
      <c r="AD130" s="676"/>
      <c r="AE130" s="683"/>
      <c r="AF130" s="1457"/>
      <c r="AG130" s="1458"/>
      <c r="AH130" s="1458"/>
      <c r="AI130" s="1466"/>
      <c r="AJ130" s="1458"/>
      <c r="AK130" s="1458"/>
      <c r="AL130" s="71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1.25" customHeight="1">
      <c r="A131" s="303" t="s">
        <v>1032</v>
      </c>
      <c r="B131" s="303" t="s">
        <v>1100</v>
      </c>
      <c r="E131" s="10"/>
      <c r="F131" s="1446"/>
      <c r="G131" s="1182" t="s">
        <v>122</v>
      </c>
      <c r="H131" s="1442" t="s">
        <v>1123</v>
      </c>
      <c r="I131" s="1454" t="s">
        <v>1101</v>
      </c>
      <c r="J131" s="1455" t="s">
        <v>1120</v>
      </c>
      <c r="K131" s="1456" t="s">
        <v>1124</v>
      </c>
      <c r="L131" s="1169" t="s">
        <v>19</v>
      </c>
      <c r="M131" s="1170"/>
      <c r="N131" s="1053"/>
      <c r="O131" s="677" t="s">
        <v>382</v>
      </c>
      <c r="P131" s="678"/>
      <c r="Q131" s="678"/>
      <c r="R131" s="678"/>
      <c r="S131" s="678"/>
      <c r="T131" s="678"/>
      <c r="U131" s="678"/>
      <c r="V131" s="678"/>
      <c r="W131" s="678"/>
      <c r="X131" s="678"/>
      <c r="Y131" s="678"/>
      <c r="Z131" s="678"/>
      <c r="AA131" s="678"/>
      <c r="AB131" s="678"/>
      <c r="AC131" s="678"/>
      <c r="AD131" s="678"/>
      <c r="AE131" s="678"/>
      <c r="AF131" s="1457">
        <v>2023</v>
      </c>
      <c r="AG131" s="1458" t="s">
        <v>1081</v>
      </c>
      <c r="AH131" s="1458" t="s">
        <v>1069</v>
      </c>
      <c r="AI131" s="1466"/>
      <c r="AJ131" s="1458" t="s">
        <v>1084</v>
      </c>
      <c r="AK131" s="1458" t="s">
        <v>1084</v>
      </c>
      <c r="AL131" s="71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1.25" customHeight="1">
      <c r="A132" s="303" t="s">
        <v>1032</v>
      </c>
      <c r="E132" s="10"/>
      <c r="F132" s="1446"/>
      <c r="G132" s="1447"/>
      <c r="H132" s="1442" t="s">
        <v>1087</v>
      </c>
      <c r="I132" s="1454"/>
      <c r="J132" s="1455"/>
      <c r="K132" s="1456"/>
      <c r="L132" s="1169"/>
      <c r="M132" s="1170"/>
      <c r="N132" s="1459"/>
      <c r="O132" s="1460">
        <v>1</v>
      </c>
      <c r="P132" s="1461" t="s">
        <v>62</v>
      </c>
      <c r="Q132" s="1455" t="s">
        <v>1085</v>
      </c>
      <c r="R132" s="1464" t="s">
        <v>1072</v>
      </c>
      <c r="S132" s="1464" t="s">
        <v>100</v>
      </c>
      <c r="T132" s="1464" t="s">
        <v>100</v>
      </c>
      <c r="U132" s="1464" t="s">
        <v>101</v>
      </c>
      <c r="V132" s="1464" t="s">
        <v>1073</v>
      </c>
      <c r="W132" s="1464" t="s">
        <v>1074</v>
      </c>
      <c r="X132" s="1464" t="s">
        <v>1086</v>
      </c>
      <c r="Y132" s="1464" t="s">
        <v>1087</v>
      </c>
      <c r="Z132" s="675"/>
      <c r="AA132" s="676"/>
      <c r="AB132" s="676"/>
      <c r="AC132" s="680"/>
      <c r="AD132" s="680"/>
      <c r="AE132" s="681"/>
      <c r="AF132" s="1457"/>
      <c r="AG132" s="1458"/>
      <c r="AH132" s="1458"/>
      <c r="AI132" s="1466"/>
      <c r="AJ132" s="1458"/>
      <c r="AK132" s="1458"/>
      <c r="AL132" s="71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62.25" customHeight="1">
      <c r="A133" s="303" t="s">
        <v>1032</v>
      </c>
      <c r="E133" s="10"/>
      <c r="F133" s="1446"/>
      <c r="G133" s="1447"/>
      <c r="H133" s="1442" t="s">
        <v>1087</v>
      </c>
      <c r="I133" s="1454"/>
      <c r="J133" s="1455"/>
      <c r="K133" s="1456"/>
      <c r="L133" s="1169"/>
      <c r="M133" s="1170"/>
      <c r="N133" s="1459"/>
      <c r="O133" s="1460"/>
      <c r="P133" s="1462"/>
      <c r="Q133" s="1455"/>
      <c r="R133" s="1415"/>
      <c r="S133" s="1464"/>
      <c r="T133" s="1415"/>
      <c r="U133" s="1415"/>
      <c r="V133" s="1415"/>
      <c r="W133" s="1415"/>
      <c r="X133" s="1415"/>
      <c r="Y133" s="1415"/>
      <c r="Z133" s="987"/>
      <c r="AA133" s="978">
        <v>1</v>
      </c>
      <c r="AB133" s="679" t="s">
        <v>1088</v>
      </c>
      <c r="AC133" s="380">
        <v>5541.62</v>
      </c>
      <c r="AD133" s="679" t="str">
        <f>AB133</f>
        <v xml:space="preserve">     Амортизационные отчисления за исключением переоценки основных средств и нематериальных активов</v>
      </c>
      <c r="AE133" s="380">
        <v>0</v>
      </c>
      <c r="AF133" s="1457"/>
      <c r="AG133" s="1458"/>
      <c r="AH133" s="1458"/>
      <c r="AI133" s="1466"/>
      <c r="AJ133" s="1458"/>
      <c r="AK133" s="1458"/>
      <c r="AL133" s="71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1.25" customHeight="1">
      <c r="A134" s="303" t="s">
        <v>1032</v>
      </c>
      <c r="E134" s="10"/>
      <c r="F134" s="1446"/>
      <c r="G134" s="1447"/>
      <c r="H134" s="1442" t="s">
        <v>1087</v>
      </c>
      <c r="I134" s="1454"/>
      <c r="J134" s="1455"/>
      <c r="K134" s="1456"/>
      <c r="L134" s="1169"/>
      <c r="M134" s="1170"/>
      <c r="N134" s="1459"/>
      <c r="O134" s="1460"/>
      <c r="P134" s="1463"/>
      <c r="Q134" s="1455"/>
      <c r="R134" s="1415"/>
      <c r="S134" s="1464"/>
      <c r="T134" s="1415"/>
      <c r="U134" s="1415"/>
      <c r="V134" s="1415"/>
      <c r="W134" s="1415"/>
      <c r="X134" s="1415"/>
      <c r="Y134" s="1415"/>
      <c r="Z134" s="675"/>
      <c r="AA134" s="676"/>
      <c r="AB134" s="110" t="s">
        <v>1078</v>
      </c>
      <c r="AC134" s="680"/>
      <c r="AD134" s="680"/>
      <c r="AE134" s="682"/>
      <c r="AF134" s="1457"/>
      <c r="AG134" s="1458"/>
      <c r="AH134" s="1458"/>
      <c r="AI134" s="1466"/>
      <c r="AJ134" s="1458"/>
      <c r="AK134" s="1458"/>
      <c r="AL134" s="71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1.25" customHeight="1">
      <c r="A135" s="303" t="s">
        <v>1032</v>
      </c>
      <c r="E135" s="10"/>
      <c r="F135" s="1446"/>
      <c r="G135" s="1447"/>
      <c r="H135" s="1442" t="s">
        <v>1087</v>
      </c>
      <c r="I135" s="1454"/>
      <c r="J135" s="1455"/>
      <c r="K135" s="1456"/>
      <c r="L135" s="1169"/>
      <c r="M135" s="1170"/>
      <c r="N135" s="675"/>
      <c r="O135" s="676"/>
      <c r="P135" s="110" t="s">
        <v>1079</v>
      </c>
      <c r="Q135" s="676"/>
      <c r="R135" s="676"/>
      <c r="S135" s="676"/>
      <c r="T135" s="676"/>
      <c r="U135" s="676"/>
      <c r="V135" s="676"/>
      <c r="W135" s="676"/>
      <c r="X135" s="676"/>
      <c r="Y135" s="676"/>
      <c r="Z135" s="676"/>
      <c r="AA135" s="676"/>
      <c r="AB135" s="676"/>
      <c r="AC135" s="676"/>
      <c r="AD135" s="676"/>
      <c r="AE135" s="683"/>
      <c r="AF135" s="1457"/>
      <c r="AG135" s="1458"/>
      <c r="AH135" s="1458"/>
      <c r="AI135" s="1466"/>
      <c r="AJ135" s="1458"/>
      <c r="AK135" s="1458"/>
      <c r="AL135" s="71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1.25" customHeight="1">
      <c r="A136" s="303" t="s">
        <v>1032</v>
      </c>
      <c r="B136" s="303" t="s">
        <v>1100</v>
      </c>
      <c r="E136" s="10"/>
      <c r="F136" s="1446"/>
      <c r="G136" s="1182" t="s">
        <v>122</v>
      </c>
      <c r="H136" s="1442" t="s">
        <v>1125</v>
      </c>
      <c r="I136" s="1454" t="s">
        <v>1101</v>
      </c>
      <c r="J136" s="1455" t="s">
        <v>1120</v>
      </c>
      <c r="K136" s="1456" t="s">
        <v>1126</v>
      </c>
      <c r="L136" s="1169" t="s">
        <v>19</v>
      </c>
      <c r="M136" s="1170"/>
      <c r="N136" s="1053"/>
      <c r="O136" s="677" t="s">
        <v>382</v>
      </c>
      <c r="P136" s="678"/>
      <c r="Q136" s="678"/>
      <c r="R136" s="678"/>
      <c r="S136" s="678"/>
      <c r="T136" s="678"/>
      <c r="U136" s="678"/>
      <c r="V136" s="678"/>
      <c r="W136" s="678"/>
      <c r="X136" s="678"/>
      <c r="Y136" s="678"/>
      <c r="Z136" s="678"/>
      <c r="AA136" s="678"/>
      <c r="AB136" s="678"/>
      <c r="AC136" s="678"/>
      <c r="AD136" s="678"/>
      <c r="AE136" s="678"/>
      <c r="AF136" s="1457">
        <v>2023</v>
      </c>
      <c r="AG136" s="1458" t="s">
        <v>1081</v>
      </c>
      <c r="AH136" s="1458" t="s">
        <v>1069</v>
      </c>
      <c r="AI136" s="1466"/>
      <c r="AJ136" s="1458" t="s">
        <v>1084</v>
      </c>
      <c r="AK136" s="1458" t="s">
        <v>1084</v>
      </c>
      <c r="AL136" s="71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1.25" customHeight="1">
      <c r="A137" s="303" t="s">
        <v>1032</v>
      </c>
      <c r="E137" s="10"/>
      <c r="F137" s="1446"/>
      <c r="G137" s="1447"/>
      <c r="H137" s="1442" t="s">
        <v>1123</v>
      </c>
      <c r="I137" s="1454"/>
      <c r="J137" s="1455"/>
      <c r="K137" s="1456"/>
      <c r="L137" s="1169"/>
      <c r="M137" s="1170"/>
      <c r="N137" s="1459"/>
      <c r="O137" s="1460">
        <v>1</v>
      </c>
      <c r="P137" s="1461" t="s">
        <v>62</v>
      </c>
      <c r="Q137" s="1455" t="s">
        <v>1096</v>
      </c>
      <c r="R137" s="1464" t="s">
        <v>1072</v>
      </c>
      <c r="S137" s="1464" t="s">
        <v>100</v>
      </c>
      <c r="T137" s="1464" t="s">
        <v>100</v>
      </c>
      <c r="U137" s="1464" t="s">
        <v>101</v>
      </c>
      <c r="V137" s="1464" t="s">
        <v>1073</v>
      </c>
      <c r="W137" s="1464" t="s">
        <v>1074</v>
      </c>
      <c r="X137" s="1464" t="s">
        <v>1075</v>
      </c>
      <c r="Y137" s="1464" t="s">
        <v>1097</v>
      </c>
      <c r="Z137" s="675"/>
      <c r="AA137" s="676"/>
      <c r="AB137" s="676"/>
      <c r="AC137" s="680"/>
      <c r="AD137" s="680"/>
      <c r="AE137" s="681"/>
      <c r="AF137" s="1457"/>
      <c r="AG137" s="1458"/>
      <c r="AH137" s="1458"/>
      <c r="AI137" s="1466"/>
      <c r="AJ137" s="1458"/>
      <c r="AK137" s="1458"/>
      <c r="AL137" s="71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32.25" customHeight="1">
      <c r="A138" s="303" t="s">
        <v>1032</v>
      </c>
      <c r="E138" s="10"/>
      <c r="F138" s="1446"/>
      <c r="G138" s="1447"/>
      <c r="H138" s="1442" t="s">
        <v>1123</v>
      </c>
      <c r="I138" s="1454"/>
      <c r="J138" s="1455"/>
      <c r="K138" s="1456"/>
      <c r="L138" s="1169"/>
      <c r="M138" s="1170"/>
      <c r="N138" s="1459"/>
      <c r="O138" s="1460"/>
      <c r="P138" s="1462"/>
      <c r="Q138" s="1455"/>
      <c r="R138" s="1415"/>
      <c r="S138" s="1464"/>
      <c r="T138" s="1415"/>
      <c r="U138" s="1415"/>
      <c r="V138" s="1415"/>
      <c r="W138" s="1415"/>
      <c r="X138" s="1415"/>
      <c r="Y138" s="1415"/>
      <c r="Z138" s="987"/>
      <c r="AA138" s="978">
        <v>1</v>
      </c>
      <c r="AB138" s="679" t="s">
        <v>1088</v>
      </c>
      <c r="AC138" s="380">
        <v>2521.48</v>
      </c>
      <c r="AD138" s="679" t="str">
        <f>AB138</f>
        <v xml:space="preserve">     Амортизационные отчисления за исключением переоценки основных средств и нематериальных активов</v>
      </c>
      <c r="AE138" s="380">
        <v>0</v>
      </c>
      <c r="AF138" s="1457"/>
      <c r="AG138" s="1458"/>
      <c r="AH138" s="1458"/>
      <c r="AI138" s="1466"/>
      <c r="AJ138" s="1458"/>
      <c r="AK138" s="1458"/>
      <c r="AL138" s="71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1.25" customHeight="1">
      <c r="A139" s="303" t="s">
        <v>1032</v>
      </c>
      <c r="E139" s="10"/>
      <c r="F139" s="1446"/>
      <c r="G139" s="1447"/>
      <c r="H139" s="1442" t="s">
        <v>1123</v>
      </c>
      <c r="I139" s="1454"/>
      <c r="J139" s="1455"/>
      <c r="K139" s="1456"/>
      <c r="L139" s="1169"/>
      <c r="M139" s="1170"/>
      <c r="N139" s="1459"/>
      <c r="O139" s="1460"/>
      <c r="P139" s="1463"/>
      <c r="Q139" s="1455"/>
      <c r="R139" s="1415"/>
      <c r="S139" s="1464"/>
      <c r="T139" s="1415"/>
      <c r="U139" s="1415"/>
      <c r="V139" s="1415"/>
      <c r="W139" s="1415"/>
      <c r="X139" s="1415"/>
      <c r="Y139" s="1415"/>
      <c r="Z139" s="675"/>
      <c r="AA139" s="676"/>
      <c r="AB139" s="110" t="s">
        <v>1078</v>
      </c>
      <c r="AC139" s="680"/>
      <c r="AD139" s="680"/>
      <c r="AE139" s="682"/>
      <c r="AF139" s="1457"/>
      <c r="AG139" s="1458"/>
      <c r="AH139" s="1458"/>
      <c r="AI139" s="1466"/>
      <c r="AJ139" s="1458"/>
      <c r="AK139" s="1458"/>
      <c r="AL139" s="71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1.25" customHeight="1">
      <c r="A140" s="303" t="s">
        <v>1032</v>
      </c>
      <c r="E140" s="10"/>
      <c r="F140" s="1446"/>
      <c r="G140" s="1447"/>
      <c r="H140" s="1442" t="s">
        <v>1123</v>
      </c>
      <c r="I140" s="1454"/>
      <c r="J140" s="1455"/>
      <c r="K140" s="1456"/>
      <c r="L140" s="1169"/>
      <c r="M140" s="1170"/>
      <c r="N140" s="675"/>
      <c r="O140" s="676"/>
      <c r="P140" s="110" t="s">
        <v>1079</v>
      </c>
      <c r="Q140" s="676"/>
      <c r="R140" s="676"/>
      <c r="S140" s="676"/>
      <c r="T140" s="676"/>
      <c r="U140" s="676"/>
      <c r="V140" s="676"/>
      <c r="W140" s="676"/>
      <c r="X140" s="676"/>
      <c r="Y140" s="676"/>
      <c r="Z140" s="676"/>
      <c r="AA140" s="676"/>
      <c r="AB140" s="676"/>
      <c r="AC140" s="676"/>
      <c r="AD140" s="676"/>
      <c r="AE140" s="683"/>
      <c r="AF140" s="1457"/>
      <c r="AG140" s="1458"/>
      <c r="AH140" s="1458"/>
      <c r="AI140" s="1466"/>
      <c r="AJ140" s="1458"/>
      <c r="AK140" s="1458"/>
      <c r="AL140" s="71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1.25" customHeight="1">
      <c r="A141" s="303" t="s">
        <v>1032</v>
      </c>
      <c r="B141" s="303" t="s">
        <v>1100</v>
      </c>
      <c r="E141" s="10"/>
      <c r="F141" s="1446"/>
      <c r="G141" s="1182" t="s">
        <v>122</v>
      </c>
      <c r="H141" s="1442" t="s">
        <v>1127</v>
      </c>
      <c r="I141" s="1454" t="s">
        <v>1101</v>
      </c>
      <c r="J141" s="1455" t="s">
        <v>1120</v>
      </c>
      <c r="K141" s="1456" t="s">
        <v>1128</v>
      </c>
      <c r="L141" s="1169" t="s">
        <v>19</v>
      </c>
      <c r="M141" s="1170"/>
      <c r="N141" s="1053"/>
      <c r="O141" s="677" t="s">
        <v>382</v>
      </c>
      <c r="P141" s="678"/>
      <c r="Q141" s="678"/>
      <c r="R141" s="678"/>
      <c r="S141" s="678"/>
      <c r="T141" s="678"/>
      <c r="U141" s="678"/>
      <c r="V141" s="678"/>
      <c r="W141" s="678"/>
      <c r="X141" s="678"/>
      <c r="Y141" s="678"/>
      <c r="Z141" s="678"/>
      <c r="AA141" s="678"/>
      <c r="AB141" s="678"/>
      <c r="AC141" s="678"/>
      <c r="AD141" s="678"/>
      <c r="AE141" s="678"/>
      <c r="AF141" s="1457">
        <v>2023</v>
      </c>
      <c r="AG141" s="1458" t="s">
        <v>1129</v>
      </c>
      <c r="AH141" s="1458" t="s">
        <v>1106</v>
      </c>
      <c r="AI141" s="1457">
        <v>2024</v>
      </c>
      <c r="AJ141" s="1458" t="s">
        <v>1129</v>
      </c>
      <c r="AK141" s="1458" t="s">
        <v>1106</v>
      </c>
      <c r="AL141" s="71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1.25" customHeight="1">
      <c r="A142" s="303" t="s">
        <v>1032</v>
      </c>
      <c r="E142" s="10"/>
      <c r="F142" s="1446"/>
      <c r="G142" s="1447"/>
      <c r="H142" s="1442" t="s">
        <v>1125</v>
      </c>
      <c r="I142" s="1454"/>
      <c r="J142" s="1455"/>
      <c r="K142" s="1456"/>
      <c r="L142" s="1169"/>
      <c r="M142" s="1170"/>
      <c r="N142" s="1459"/>
      <c r="O142" s="1460">
        <v>1</v>
      </c>
      <c r="P142" s="1461" t="s">
        <v>62</v>
      </c>
      <c r="Q142" s="1455" t="s">
        <v>1085</v>
      </c>
      <c r="R142" s="1464" t="s">
        <v>1072</v>
      </c>
      <c r="S142" s="1464" t="s">
        <v>100</v>
      </c>
      <c r="T142" s="1464" t="s">
        <v>100</v>
      </c>
      <c r="U142" s="1464" t="s">
        <v>101</v>
      </c>
      <c r="V142" s="1464" t="s">
        <v>1073</v>
      </c>
      <c r="W142" s="1464" t="s">
        <v>1074</v>
      </c>
      <c r="X142" s="1464" t="s">
        <v>1086</v>
      </c>
      <c r="Y142" s="1464" t="s">
        <v>1087</v>
      </c>
      <c r="Z142" s="675"/>
      <c r="AA142" s="676"/>
      <c r="AB142" s="676"/>
      <c r="AC142" s="680"/>
      <c r="AD142" s="680"/>
      <c r="AE142" s="681"/>
      <c r="AF142" s="1457"/>
      <c r="AG142" s="1458"/>
      <c r="AH142" s="1458"/>
      <c r="AI142" s="1457"/>
      <c r="AJ142" s="1458"/>
      <c r="AK142" s="1458"/>
      <c r="AL142" s="71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32.25" customHeight="1">
      <c r="A143" s="303" t="s">
        <v>1032</v>
      </c>
      <c r="E143" s="10"/>
      <c r="F143" s="1446"/>
      <c r="G143" s="1447"/>
      <c r="H143" s="1442" t="s">
        <v>1125</v>
      </c>
      <c r="I143" s="1454"/>
      <c r="J143" s="1455"/>
      <c r="K143" s="1456"/>
      <c r="L143" s="1169"/>
      <c r="M143" s="1170"/>
      <c r="N143" s="1459"/>
      <c r="O143" s="1460"/>
      <c r="P143" s="1462"/>
      <c r="Q143" s="1455"/>
      <c r="R143" s="1415"/>
      <c r="S143" s="1464"/>
      <c r="T143" s="1415"/>
      <c r="U143" s="1415"/>
      <c r="V143" s="1415"/>
      <c r="W143" s="1415"/>
      <c r="X143" s="1415"/>
      <c r="Y143" s="1415"/>
      <c r="Z143" s="987"/>
      <c r="AA143" s="978">
        <v>1</v>
      </c>
      <c r="AB143" s="679" t="s">
        <v>1088</v>
      </c>
      <c r="AC143" s="380">
        <v>0</v>
      </c>
      <c r="AD143" s="679" t="str">
        <f>AB143</f>
        <v xml:space="preserve">     Амортизационные отчисления за исключением переоценки основных средств и нематериальных активов</v>
      </c>
      <c r="AE143" s="380">
        <v>0</v>
      </c>
      <c r="AF143" s="1457"/>
      <c r="AG143" s="1458"/>
      <c r="AH143" s="1458"/>
      <c r="AI143" s="1457"/>
      <c r="AJ143" s="1458"/>
      <c r="AK143" s="1458"/>
      <c r="AL143" s="71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3.5" customHeight="1">
      <c r="A144" s="303" t="s">
        <v>1032</v>
      </c>
      <c r="E144" s="10"/>
      <c r="F144" s="1446"/>
      <c r="G144" s="1447"/>
      <c r="H144" s="1442" t="s">
        <v>1125</v>
      </c>
      <c r="I144" s="1454"/>
      <c r="J144" s="1455"/>
      <c r="K144" s="1456"/>
      <c r="L144" s="1169"/>
      <c r="M144" s="1170"/>
      <c r="N144" s="1459"/>
      <c r="O144" s="1460"/>
      <c r="P144" s="1463"/>
      <c r="Q144" s="1455"/>
      <c r="R144" s="1415"/>
      <c r="S144" s="1464"/>
      <c r="T144" s="1415"/>
      <c r="U144" s="1415"/>
      <c r="V144" s="1415"/>
      <c r="W144" s="1415"/>
      <c r="X144" s="1415"/>
      <c r="Y144" s="1415"/>
      <c r="Z144" s="675"/>
      <c r="AA144" s="676"/>
      <c r="AB144" s="110" t="s">
        <v>1078</v>
      </c>
      <c r="AC144" s="680"/>
      <c r="AD144" s="680"/>
      <c r="AE144" s="682"/>
      <c r="AF144" s="1457"/>
      <c r="AG144" s="1458"/>
      <c r="AH144" s="1458"/>
      <c r="AI144" s="1457"/>
      <c r="AJ144" s="1458"/>
      <c r="AK144" s="1458"/>
      <c r="AL144" s="71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1.25" customHeight="1">
      <c r="A145" s="303" t="s">
        <v>1032</v>
      </c>
      <c r="E145" s="10"/>
      <c r="F145" s="1446"/>
      <c r="G145" s="1447"/>
      <c r="H145" s="1442" t="s">
        <v>1125</v>
      </c>
      <c r="I145" s="1454"/>
      <c r="J145" s="1455"/>
      <c r="K145" s="1456"/>
      <c r="L145" s="1169"/>
      <c r="M145" s="1170"/>
      <c r="N145" s="675"/>
      <c r="O145" s="676"/>
      <c r="P145" s="110" t="s">
        <v>1079</v>
      </c>
      <c r="Q145" s="676"/>
      <c r="R145" s="676"/>
      <c r="S145" s="676"/>
      <c r="T145" s="676"/>
      <c r="U145" s="676"/>
      <c r="V145" s="676"/>
      <c r="W145" s="676"/>
      <c r="X145" s="676"/>
      <c r="Y145" s="676"/>
      <c r="Z145" s="676"/>
      <c r="AA145" s="676"/>
      <c r="AB145" s="676"/>
      <c r="AC145" s="676"/>
      <c r="AD145" s="676"/>
      <c r="AE145" s="683"/>
      <c r="AF145" s="1457"/>
      <c r="AG145" s="1458"/>
      <c r="AH145" s="1458"/>
      <c r="AI145" s="1457"/>
      <c r="AJ145" s="1458"/>
      <c r="AK145" s="1458"/>
      <c r="AL145" s="71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1.25" customHeight="1">
      <c r="A146" s="303" t="s">
        <v>1032</v>
      </c>
      <c r="B146" s="303" t="s">
        <v>1100</v>
      </c>
      <c r="E146" s="10"/>
      <c r="F146" s="1446"/>
      <c r="G146" s="1182" t="s">
        <v>122</v>
      </c>
      <c r="H146" s="1442" t="s">
        <v>1130</v>
      </c>
      <c r="I146" s="1454" t="s">
        <v>1101</v>
      </c>
      <c r="J146" s="1455" t="s">
        <v>1120</v>
      </c>
      <c r="K146" s="1456" t="s">
        <v>1131</v>
      </c>
      <c r="L146" s="1169" t="s">
        <v>19</v>
      </c>
      <c r="M146" s="1170"/>
      <c r="N146" s="1053"/>
      <c r="O146" s="677" t="s">
        <v>382</v>
      </c>
      <c r="P146" s="678"/>
      <c r="Q146" s="678"/>
      <c r="R146" s="678"/>
      <c r="S146" s="678"/>
      <c r="T146" s="678"/>
      <c r="U146" s="678"/>
      <c r="V146" s="678"/>
      <c r="W146" s="678"/>
      <c r="X146" s="678"/>
      <c r="Y146" s="678"/>
      <c r="Z146" s="678"/>
      <c r="AA146" s="678"/>
      <c r="AB146" s="678"/>
      <c r="AC146" s="678"/>
      <c r="AD146" s="678"/>
      <c r="AE146" s="678"/>
      <c r="AF146" s="1457">
        <v>2023</v>
      </c>
      <c r="AG146" s="1458" t="s">
        <v>1081</v>
      </c>
      <c r="AH146" s="1458" t="s">
        <v>1069</v>
      </c>
      <c r="AI146" s="1466"/>
      <c r="AJ146" s="1458" t="s">
        <v>1084</v>
      </c>
      <c r="AK146" s="1458" t="s">
        <v>1084</v>
      </c>
      <c r="AL146" s="71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1.25" customHeight="1">
      <c r="A147" s="303" t="s">
        <v>1032</v>
      </c>
      <c r="E147" s="10"/>
      <c r="F147" s="1446"/>
      <c r="G147" s="1447"/>
      <c r="H147" s="1442" t="s">
        <v>1127</v>
      </c>
      <c r="I147" s="1454"/>
      <c r="J147" s="1455"/>
      <c r="K147" s="1456"/>
      <c r="L147" s="1169"/>
      <c r="M147" s="1170"/>
      <c r="N147" s="1459"/>
      <c r="O147" s="1460">
        <v>1</v>
      </c>
      <c r="P147" s="1461" t="s">
        <v>62</v>
      </c>
      <c r="Q147" s="1455" t="s">
        <v>1096</v>
      </c>
      <c r="R147" s="1464" t="s">
        <v>1072</v>
      </c>
      <c r="S147" s="1464" t="s">
        <v>100</v>
      </c>
      <c r="T147" s="1464" t="s">
        <v>100</v>
      </c>
      <c r="U147" s="1464" t="s">
        <v>101</v>
      </c>
      <c r="V147" s="1464" t="s">
        <v>1073</v>
      </c>
      <c r="W147" s="1464" t="s">
        <v>1074</v>
      </c>
      <c r="X147" s="1464" t="s">
        <v>1075</v>
      </c>
      <c r="Y147" s="1464" t="s">
        <v>1097</v>
      </c>
      <c r="Z147" s="675"/>
      <c r="AA147" s="676"/>
      <c r="AB147" s="676"/>
      <c r="AC147" s="680"/>
      <c r="AD147" s="680"/>
      <c r="AE147" s="681"/>
      <c r="AF147" s="1457"/>
      <c r="AG147" s="1458"/>
      <c r="AH147" s="1458"/>
      <c r="AI147" s="1466"/>
      <c r="AJ147" s="1458"/>
      <c r="AK147" s="1458"/>
      <c r="AL147" s="71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32.25" customHeight="1">
      <c r="A148" s="303" t="s">
        <v>1032</v>
      </c>
      <c r="E148" s="10"/>
      <c r="F148" s="1446"/>
      <c r="G148" s="1447"/>
      <c r="H148" s="1442" t="s">
        <v>1127</v>
      </c>
      <c r="I148" s="1454"/>
      <c r="J148" s="1455"/>
      <c r="K148" s="1456"/>
      <c r="L148" s="1169"/>
      <c r="M148" s="1170"/>
      <c r="N148" s="1459"/>
      <c r="O148" s="1460"/>
      <c r="P148" s="1462"/>
      <c r="Q148" s="1455"/>
      <c r="R148" s="1415"/>
      <c r="S148" s="1464"/>
      <c r="T148" s="1415"/>
      <c r="U148" s="1415"/>
      <c r="V148" s="1415"/>
      <c r="W148" s="1415"/>
      <c r="X148" s="1415"/>
      <c r="Y148" s="1415"/>
      <c r="Z148" s="987"/>
      <c r="AA148" s="978">
        <v>1</v>
      </c>
      <c r="AB148" s="679" t="s">
        <v>1088</v>
      </c>
      <c r="AC148" s="380">
        <v>3536.56</v>
      </c>
      <c r="AD148" s="679" t="str">
        <f>AB148</f>
        <v xml:space="preserve">     Амортизационные отчисления за исключением переоценки основных средств и нематериальных активов</v>
      </c>
      <c r="AE148" s="380">
        <v>0</v>
      </c>
      <c r="AF148" s="1457"/>
      <c r="AG148" s="1458"/>
      <c r="AH148" s="1458"/>
      <c r="AI148" s="1466"/>
      <c r="AJ148" s="1458"/>
      <c r="AK148" s="1458"/>
      <c r="AL148" s="71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3.5" customHeight="1">
      <c r="A149" s="303" t="s">
        <v>1032</v>
      </c>
      <c r="E149" s="10"/>
      <c r="F149" s="1446"/>
      <c r="G149" s="1447"/>
      <c r="H149" s="1442" t="s">
        <v>1127</v>
      </c>
      <c r="I149" s="1454"/>
      <c r="J149" s="1455"/>
      <c r="K149" s="1456"/>
      <c r="L149" s="1169"/>
      <c r="M149" s="1170"/>
      <c r="N149" s="1459"/>
      <c r="O149" s="1460"/>
      <c r="P149" s="1463"/>
      <c r="Q149" s="1455"/>
      <c r="R149" s="1415"/>
      <c r="S149" s="1464"/>
      <c r="T149" s="1415"/>
      <c r="U149" s="1415"/>
      <c r="V149" s="1415"/>
      <c r="W149" s="1415"/>
      <c r="X149" s="1415"/>
      <c r="Y149" s="1415"/>
      <c r="Z149" s="675"/>
      <c r="AA149" s="676"/>
      <c r="AB149" s="110" t="s">
        <v>1078</v>
      </c>
      <c r="AC149" s="680"/>
      <c r="AD149" s="680"/>
      <c r="AE149" s="682"/>
      <c r="AF149" s="1457"/>
      <c r="AG149" s="1458"/>
      <c r="AH149" s="1458"/>
      <c r="AI149" s="1466"/>
      <c r="AJ149" s="1458"/>
      <c r="AK149" s="1458"/>
      <c r="AL149" s="71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1.25" customHeight="1">
      <c r="A150" s="303" t="s">
        <v>1032</v>
      </c>
      <c r="E150" s="10"/>
      <c r="F150" s="1446"/>
      <c r="G150" s="1447"/>
      <c r="H150" s="1442" t="s">
        <v>1127</v>
      </c>
      <c r="I150" s="1454"/>
      <c r="J150" s="1455"/>
      <c r="K150" s="1456"/>
      <c r="L150" s="1169"/>
      <c r="M150" s="1170"/>
      <c r="N150" s="675"/>
      <c r="O150" s="676"/>
      <c r="P150" s="110" t="s">
        <v>1079</v>
      </c>
      <c r="Q150" s="676"/>
      <c r="R150" s="676"/>
      <c r="S150" s="676"/>
      <c r="T150" s="676"/>
      <c r="U150" s="676"/>
      <c r="V150" s="676"/>
      <c r="W150" s="676"/>
      <c r="X150" s="676"/>
      <c r="Y150" s="676"/>
      <c r="Z150" s="676"/>
      <c r="AA150" s="676"/>
      <c r="AB150" s="676"/>
      <c r="AC150" s="676"/>
      <c r="AD150" s="676"/>
      <c r="AE150" s="683"/>
      <c r="AF150" s="1457"/>
      <c r="AG150" s="1458"/>
      <c r="AH150" s="1458"/>
      <c r="AI150" s="1466"/>
      <c r="AJ150" s="1458"/>
      <c r="AK150" s="1458"/>
      <c r="AL150" s="71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1.25" customHeight="1">
      <c r="A151" s="303" t="s">
        <v>1032</v>
      </c>
      <c r="B151" s="303" t="s">
        <v>1100</v>
      </c>
      <c r="E151" s="10"/>
      <c r="F151" s="1446"/>
      <c r="G151" s="1182" t="s">
        <v>122</v>
      </c>
      <c r="H151" s="1442" t="s">
        <v>1132</v>
      </c>
      <c r="I151" s="1454" t="s">
        <v>1101</v>
      </c>
      <c r="J151" s="1455" t="s">
        <v>1120</v>
      </c>
      <c r="K151" s="1456" t="s">
        <v>1133</v>
      </c>
      <c r="L151" s="1169" t="s">
        <v>19</v>
      </c>
      <c r="M151" s="1170"/>
      <c r="N151" s="1053"/>
      <c r="O151" s="677" t="s">
        <v>382</v>
      </c>
      <c r="P151" s="678"/>
      <c r="Q151" s="678"/>
      <c r="R151" s="678"/>
      <c r="S151" s="678"/>
      <c r="T151" s="678"/>
      <c r="U151" s="678"/>
      <c r="V151" s="678"/>
      <c r="W151" s="678"/>
      <c r="X151" s="678"/>
      <c r="Y151" s="678"/>
      <c r="Z151" s="678"/>
      <c r="AA151" s="678"/>
      <c r="AB151" s="678"/>
      <c r="AC151" s="678"/>
      <c r="AD151" s="678"/>
      <c r="AE151" s="678"/>
      <c r="AF151" s="1457">
        <v>2023</v>
      </c>
      <c r="AG151" s="1458" t="s">
        <v>1070</v>
      </c>
      <c r="AH151" s="1458" t="s">
        <v>1069</v>
      </c>
      <c r="AI151" s="1457">
        <v>2023</v>
      </c>
      <c r="AJ151" s="1458" t="s">
        <v>1070</v>
      </c>
      <c r="AK151" s="1458" t="s">
        <v>1069</v>
      </c>
      <c r="AL151" s="71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1.25" customHeight="1">
      <c r="A152" s="303" t="s">
        <v>1032</v>
      </c>
      <c r="E152" s="10"/>
      <c r="F152" s="1446"/>
      <c r="G152" s="1447"/>
      <c r="H152" s="1442" t="s">
        <v>1130</v>
      </c>
      <c r="I152" s="1454"/>
      <c r="J152" s="1455"/>
      <c r="K152" s="1456"/>
      <c r="L152" s="1169"/>
      <c r="M152" s="1170"/>
      <c r="N152" s="1459"/>
      <c r="O152" s="1460">
        <v>1</v>
      </c>
      <c r="P152" s="1461" t="s">
        <v>62</v>
      </c>
      <c r="Q152" s="1455" t="s">
        <v>1096</v>
      </c>
      <c r="R152" s="1464" t="s">
        <v>1072</v>
      </c>
      <c r="S152" s="1464" t="s">
        <v>100</v>
      </c>
      <c r="T152" s="1464" t="s">
        <v>100</v>
      </c>
      <c r="U152" s="1464" t="s">
        <v>101</v>
      </c>
      <c r="V152" s="1464" t="s">
        <v>1073</v>
      </c>
      <c r="W152" s="1464" t="s">
        <v>1074</v>
      </c>
      <c r="X152" s="1464" t="s">
        <v>1075</v>
      </c>
      <c r="Y152" s="1464" t="s">
        <v>1097</v>
      </c>
      <c r="Z152" s="675"/>
      <c r="AA152" s="676"/>
      <c r="AB152" s="676"/>
      <c r="AC152" s="680"/>
      <c r="AD152" s="680"/>
      <c r="AE152" s="681"/>
      <c r="AF152" s="1457"/>
      <c r="AG152" s="1458"/>
      <c r="AH152" s="1458"/>
      <c r="AI152" s="1457"/>
      <c r="AJ152" s="1458"/>
      <c r="AK152" s="1458"/>
      <c r="AL152" s="71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32.25" customHeight="1">
      <c r="A153" s="303" t="s">
        <v>1032</v>
      </c>
      <c r="E153" s="10"/>
      <c r="F153" s="1446"/>
      <c r="G153" s="1447"/>
      <c r="H153" s="1442" t="s">
        <v>1130</v>
      </c>
      <c r="I153" s="1454"/>
      <c r="J153" s="1455"/>
      <c r="K153" s="1456"/>
      <c r="L153" s="1169"/>
      <c r="M153" s="1170"/>
      <c r="N153" s="1459"/>
      <c r="O153" s="1460"/>
      <c r="P153" s="1462"/>
      <c r="Q153" s="1455"/>
      <c r="R153" s="1415"/>
      <c r="S153" s="1464"/>
      <c r="T153" s="1415"/>
      <c r="U153" s="1415"/>
      <c r="V153" s="1415"/>
      <c r="W153" s="1415"/>
      <c r="X153" s="1415"/>
      <c r="Y153" s="1415"/>
      <c r="Z153" s="987"/>
      <c r="AA153" s="978">
        <v>1</v>
      </c>
      <c r="AB153" s="679" t="s">
        <v>1088</v>
      </c>
      <c r="AC153" s="380">
        <f>28970.65-AC154</f>
        <v>19754.350000000002</v>
      </c>
      <c r="AD153" s="679" t="str">
        <f>AB153</f>
        <v xml:space="preserve">     Амортизационные отчисления за исключением переоценки основных средств и нематериальных активов</v>
      </c>
      <c r="AE153" s="380">
        <v>28970.65</v>
      </c>
      <c r="AF153" s="1457"/>
      <c r="AG153" s="1458"/>
      <c r="AH153" s="1458"/>
      <c r="AI153" s="1457"/>
      <c r="AJ153" s="1458"/>
      <c r="AK153" s="1458"/>
      <c r="AL153" s="71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3.5" customHeight="1">
      <c r="A154" s="303" t="s">
        <v>1032</v>
      </c>
      <c r="E154" s="10"/>
      <c r="F154" s="1447"/>
      <c r="G154" s="1447"/>
      <c r="H154" s="1447"/>
      <c r="I154" s="1447"/>
      <c r="J154" s="1447"/>
      <c r="K154" s="1447"/>
      <c r="L154" s="1447"/>
      <c r="M154" s="1447"/>
      <c r="N154" s="1447"/>
      <c r="O154" s="1447"/>
      <c r="P154" s="1447"/>
      <c r="Q154" s="1447"/>
      <c r="R154" s="1447"/>
      <c r="S154" s="1447"/>
      <c r="T154" s="1447"/>
      <c r="U154" s="1447"/>
      <c r="V154" s="1447"/>
      <c r="W154" s="1447"/>
      <c r="X154" s="1447"/>
      <c r="Y154" s="1447"/>
      <c r="Z154" s="87" t="s">
        <v>122</v>
      </c>
      <c r="AA154" s="982" t="s">
        <v>110</v>
      </c>
      <c r="AB154" s="679" t="s">
        <v>1094</v>
      </c>
      <c r="AC154" s="380">
        <v>9216.2999999999993</v>
      </c>
      <c r="AD154" s="679" t="str">
        <f>AB154</f>
        <v xml:space="preserve">  Кредиты</v>
      </c>
      <c r="AE154" s="380">
        <v>0</v>
      </c>
      <c r="AF154" s="1479"/>
      <c r="AG154" s="1477"/>
      <c r="AH154" s="1477"/>
      <c r="AI154" s="1479"/>
      <c r="AJ154" s="1477"/>
      <c r="AK154" s="1478"/>
      <c r="AL154" s="71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1.25" customHeight="1">
      <c r="A155" s="303" t="s">
        <v>1032</v>
      </c>
      <c r="E155" s="10"/>
      <c r="F155" s="1446"/>
      <c r="G155" s="1447"/>
      <c r="H155" s="1442" t="s">
        <v>1130</v>
      </c>
      <c r="I155" s="1454"/>
      <c r="J155" s="1455"/>
      <c r="K155" s="1456"/>
      <c r="L155" s="1169"/>
      <c r="M155" s="1170"/>
      <c r="N155" s="1459"/>
      <c r="O155" s="1460"/>
      <c r="P155" s="1463"/>
      <c r="Q155" s="1455"/>
      <c r="R155" s="1415"/>
      <c r="S155" s="1464"/>
      <c r="T155" s="1415"/>
      <c r="U155" s="1415"/>
      <c r="V155" s="1415"/>
      <c r="W155" s="1415"/>
      <c r="X155" s="1415"/>
      <c r="Y155" s="1415"/>
      <c r="Z155" s="675"/>
      <c r="AA155" s="676"/>
      <c r="AB155" s="110" t="s">
        <v>1078</v>
      </c>
      <c r="AC155" s="680"/>
      <c r="AD155" s="680"/>
      <c r="AE155" s="682"/>
      <c r="AF155" s="1457"/>
      <c r="AG155" s="1458"/>
      <c r="AH155" s="1458"/>
      <c r="AI155" s="1457"/>
      <c r="AJ155" s="1458"/>
      <c r="AK155" s="1458"/>
      <c r="AL155" s="71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1.25" customHeight="1">
      <c r="A156" s="303" t="s">
        <v>1032</v>
      </c>
      <c r="E156" s="10"/>
      <c r="F156" s="1446"/>
      <c r="G156" s="1447"/>
      <c r="H156" s="1442" t="s">
        <v>1130</v>
      </c>
      <c r="I156" s="1454"/>
      <c r="J156" s="1455"/>
      <c r="K156" s="1456"/>
      <c r="L156" s="1169"/>
      <c r="M156" s="1170"/>
      <c r="N156" s="675"/>
      <c r="O156" s="676"/>
      <c r="P156" s="110" t="s">
        <v>1079</v>
      </c>
      <c r="Q156" s="676"/>
      <c r="R156" s="676"/>
      <c r="S156" s="676"/>
      <c r="T156" s="676"/>
      <c r="U156" s="676"/>
      <c r="V156" s="676"/>
      <c r="W156" s="676"/>
      <c r="X156" s="676"/>
      <c r="Y156" s="676"/>
      <c r="Z156" s="676"/>
      <c r="AA156" s="676"/>
      <c r="AB156" s="676"/>
      <c r="AC156" s="676"/>
      <c r="AD156" s="676"/>
      <c r="AE156" s="683"/>
      <c r="AF156" s="1457"/>
      <c r="AG156" s="1458"/>
      <c r="AH156" s="1458"/>
      <c r="AI156" s="1457"/>
      <c r="AJ156" s="1458"/>
      <c r="AK156" s="1458"/>
      <c r="AL156" s="71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1.25" customHeight="1">
      <c r="A157" s="303" t="s">
        <v>1032</v>
      </c>
      <c r="B157" s="303" t="s">
        <v>22</v>
      </c>
      <c r="E157" s="10"/>
      <c r="F157" s="1446"/>
      <c r="G157" s="1182" t="s">
        <v>122</v>
      </c>
      <c r="H157" s="1442" t="s">
        <v>1134</v>
      </c>
      <c r="I157" s="1454" t="s">
        <v>1135</v>
      </c>
      <c r="J157" s="1465" t="s">
        <v>22</v>
      </c>
      <c r="K157" s="1456" t="s">
        <v>1136</v>
      </c>
      <c r="L157" s="1169" t="s">
        <v>19</v>
      </c>
      <c r="M157" s="1170"/>
      <c r="N157" s="1053"/>
      <c r="O157" s="677" t="s">
        <v>382</v>
      </c>
      <c r="P157" s="678"/>
      <c r="Q157" s="678"/>
      <c r="R157" s="678"/>
      <c r="S157" s="678"/>
      <c r="T157" s="678"/>
      <c r="U157" s="678"/>
      <c r="V157" s="678"/>
      <c r="W157" s="678"/>
      <c r="X157" s="678"/>
      <c r="Y157" s="678"/>
      <c r="Z157" s="678"/>
      <c r="AA157" s="678"/>
      <c r="AB157" s="678"/>
      <c r="AC157" s="678"/>
      <c r="AD157" s="678"/>
      <c r="AE157" s="678"/>
      <c r="AF157" s="1457">
        <v>2023</v>
      </c>
      <c r="AG157" s="1458" t="s">
        <v>1070</v>
      </c>
      <c r="AH157" s="1458" t="s">
        <v>1069</v>
      </c>
      <c r="AI157" s="1457">
        <v>2023</v>
      </c>
      <c r="AJ157" s="1458" t="s">
        <v>1070</v>
      </c>
      <c r="AK157" s="1458" t="s">
        <v>1069</v>
      </c>
      <c r="AL157" s="71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1.25" customHeight="1">
      <c r="A158" s="303" t="s">
        <v>1032</v>
      </c>
      <c r="E158" s="10"/>
      <c r="F158" s="1446"/>
      <c r="G158" s="1447"/>
      <c r="H158" s="1442" t="s">
        <v>1132</v>
      </c>
      <c r="I158" s="1454"/>
      <c r="J158" s="1465"/>
      <c r="K158" s="1456"/>
      <c r="L158" s="1169"/>
      <c r="M158" s="1170"/>
      <c r="N158" s="1459"/>
      <c r="O158" s="1460">
        <v>1</v>
      </c>
      <c r="P158" s="1461" t="s">
        <v>62</v>
      </c>
      <c r="Q158" s="1455" t="s">
        <v>1071</v>
      </c>
      <c r="R158" s="1464" t="s">
        <v>1072</v>
      </c>
      <c r="S158" s="1464" t="s">
        <v>100</v>
      </c>
      <c r="T158" s="1464" t="s">
        <v>100</v>
      </c>
      <c r="U158" s="1464" t="s">
        <v>101</v>
      </c>
      <c r="V158" s="1464" t="s">
        <v>1073</v>
      </c>
      <c r="W158" s="1464" t="s">
        <v>1074</v>
      </c>
      <c r="X158" s="1464" t="s">
        <v>1075</v>
      </c>
      <c r="Y158" s="1464" t="s">
        <v>1076</v>
      </c>
      <c r="Z158" s="675"/>
      <c r="AA158" s="676"/>
      <c r="AB158" s="676"/>
      <c r="AC158" s="680"/>
      <c r="AD158" s="680"/>
      <c r="AE158" s="681"/>
      <c r="AF158" s="1457"/>
      <c r="AG158" s="1458"/>
      <c r="AH158" s="1458"/>
      <c r="AI158" s="1457"/>
      <c r="AJ158" s="1458"/>
      <c r="AK158" s="1458"/>
      <c r="AL158" s="71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1.25" customHeight="1">
      <c r="A159" s="303" t="s">
        <v>1032</v>
      </c>
      <c r="E159" s="10"/>
      <c r="F159" s="1446"/>
      <c r="G159" s="1447"/>
      <c r="H159" s="1442" t="s">
        <v>1132</v>
      </c>
      <c r="I159" s="1454"/>
      <c r="J159" s="1465"/>
      <c r="K159" s="1456"/>
      <c r="L159" s="1169"/>
      <c r="M159" s="1170"/>
      <c r="N159" s="1459"/>
      <c r="O159" s="1460"/>
      <c r="P159" s="1462"/>
      <c r="Q159" s="1455"/>
      <c r="R159" s="1415"/>
      <c r="S159" s="1464"/>
      <c r="T159" s="1415"/>
      <c r="U159" s="1415"/>
      <c r="V159" s="1415"/>
      <c r="W159" s="1415"/>
      <c r="X159" s="1415"/>
      <c r="Y159" s="1415"/>
      <c r="Z159" s="987"/>
      <c r="AA159" s="978">
        <v>1</v>
      </c>
      <c r="AB159" s="679" t="s">
        <v>1094</v>
      </c>
      <c r="AC159" s="380">
        <v>6084.86</v>
      </c>
      <c r="AD159" s="679" t="str">
        <f>AB159</f>
        <v xml:space="preserve">  Кредиты</v>
      </c>
      <c r="AE159" s="380">
        <v>5607.22</v>
      </c>
      <c r="AF159" s="1457"/>
      <c r="AG159" s="1458"/>
      <c r="AH159" s="1458"/>
      <c r="AI159" s="1457"/>
      <c r="AJ159" s="1458"/>
      <c r="AK159" s="1458"/>
      <c r="AL159" s="71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1.25" customHeight="1">
      <c r="A160" s="303" t="s">
        <v>1032</v>
      </c>
      <c r="E160" s="10"/>
      <c r="F160" s="1447"/>
      <c r="G160" s="1447"/>
      <c r="H160" s="1447"/>
      <c r="I160" s="1447"/>
      <c r="J160" s="1447"/>
      <c r="K160" s="1447"/>
      <c r="L160" s="1447"/>
      <c r="M160" s="1447"/>
      <c r="N160" s="1447"/>
      <c r="O160" s="1447"/>
      <c r="P160" s="1447"/>
      <c r="Q160" s="1447"/>
      <c r="R160" s="1447"/>
      <c r="S160" s="1447"/>
      <c r="T160" s="1447"/>
      <c r="U160" s="1447"/>
      <c r="V160" s="1447"/>
      <c r="W160" s="1447"/>
      <c r="X160" s="1447"/>
      <c r="Y160" s="1447"/>
      <c r="Z160" s="87" t="s">
        <v>122</v>
      </c>
      <c r="AA160" s="982" t="s">
        <v>110</v>
      </c>
      <c r="AB160" s="679" t="s">
        <v>1088</v>
      </c>
      <c r="AC160" s="380">
        <v>0</v>
      </c>
      <c r="AD160" s="679" t="str">
        <f>AB160</f>
        <v xml:space="preserve">     Амортизационные отчисления за исключением переоценки основных средств и нематериальных активов</v>
      </c>
      <c r="AE160" s="380">
        <v>6205.07</v>
      </c>
      <c r="AF160" s="1479"/>
      <c r="AG160" s="1477"/>
      <c r="AH160" s="1477"/>
      <c r="AI160" s="1479"/>
      <c r="AJ160" s="1477"/>
      <c r="AK160" s="1478"/>
      <c r="AL160" s="71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1.25" customHeight="1">
      <c r="A161" s="303" t="s">
        <v>1032</v>
      </c>
      <c r="E161" s="10"/>
      <c r="F161" s="1447"/>
      <c r="G161" s="1447"/>
      <c r="H161" s="1447"/>
      <c r="I161" s="1447"/>
      <c r="J161" s="1447"/>
      <c r="K161" s="1447"/>
      <c r="L161" s="1447"/>
      <c r="M161" s="1447"/>
      <c r="N161" s="1447"/>
      <c r="O161" s="1447"/>
      <c r="P161" s="1447"/>
      <c r="Q161" s="1447"/>
      <c r="R161" s="1447"/>
      <c r="S161" s="1447"/>
      <c r="T161" s="1447"/>
      <c r="U161" s="1447"/>
      <c r="V161" s="1447"/>
      <c r="W161" s="1447"/>
      <c r="X161" s="1447"/>
      <c r="Y161" s="1447"/>
      <c r="Z161" s="87" t="s">
        <v>122</v>
      </c>
      <c r="AA161" s="982" t="s">
        <v>90</v>
      </c>
      <c r="AB161" s="679" t="s">
        <v>1108</v>
      </c>
      <c r="AC161" s="380">
        <v>0</v>
      </c>
      <c r="AD161" s="679" t="str">
        <f>AB161</f>
        <v xml:space="preserve">  Прочие</v>
      </c>
      <c r="AE161" s="380">
        <v>357.42</v>
      </c>
      <c r="AF161" s="1479"/>
      <c r="AG161" s="1477"/>
      <c r="AH161" s="1477"/>
      <c r="AI161" s="1479"/>
      <c r="AJ161" s="1477"/>
      <c r="AK161" s="1478"/>
      <c r="AL161" s="71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1.25" customHeight="1">
      <c r="A162" s="303" t="s">
        <v>1032</v>
      </c>
      <c r="E162" s="10"/>
      <c r="F162" s="1446"/>
      <c r="G162" s="1447"/>
      <c r="H162" s="1442" t="s">
        <v>1132</v>
      </c>
      <c r="I162" s="1454"/>
      <c r="J162" s="1465"/>
      <c r="K162" s="1456"/>
      <c r="L162" s="1169"/>
      <c r="M162" s="1170"/>
      <c r="N162" s="1459"/>
      <c r="O162" s="1460"/>
      <c r="P162" s="1463"/>
      <c r="Q162" s="1455"/>
      <c r="R162" s="1415"/>
      <c r="S162" s="1464"/>
      <c r="T162" s="1415"/>
      <c r="U162" s="1415"/>
      <c r="V162" s="1415"/>
      <c r="W162" s="1415"/>
      <c r="X162" s="1415"/>
      <c r="Y162" s="1415"/>
      <c r="Z162" s="675"/>
      <c r="AA162" s="676"/>
      <c r="AB162" s="110" t="s">
        <v>1078</v>
      </c>
      <c r="AC162" s="680"/>
      <c r="AD162" s="680"/>
      <c r="AE162" s="682"/>
      <c r="AF162" s="1457"/>
      <c r="AG162" s="1458"/>
      <c r="AH162" s="1458"/>
      <c r="AI162" s="1457"/>
      <c r="AJ162" s="1458"/>
      <c r="AK162" s="1458"/>
      <c r="AL162" s="71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1.25" customHeight="1">
      <c r="A163" s="303" t="s">
        <v>1032</v>
      </c>
      <c r="E163" s="10"/>
      <c r="F163" s="1446"/>
      <c r="G163" s="1447"/>
      <c r="H163" s="1447"/>
      <c r="I163" s="1467"/>
      <c r="J163" s="1470"/>
      <c r="K163" s="1473"/>
      <c r="L163" s="1467"/>
      <c r="M163" s="1447"/>
      <c r="N163" s="1182" t="s">
        <v>122</v>
      </c>
      <c r="O163" s="1483" t="s">
        <v>110</v>
      </c>
      <c r="P163" s="1461" t="s">
        <v>62</v>
      </c>
      <c r="Q163" s="1455" t="s">
        <v>1137</v>
      </c>
      <c r="R163" s="1464" t="s">
        <v>1072</v>
      </c>
      <c r="S163" s="1464" t="s">
        <v>100</v>
      </c>
      <c r="T163" s="1464" t="s">
        <v>100</v>
      </c>
      <c r="U163" s="1464" t="s">
        <v>101</v>
      </c>
      <c r="V163" s="1464" t="s">
        <v>1073</v>
      </c>
      <c r="W163" s="1464" t="s">
        <v>1074</v>
      </c>
      <c r="X163" s="1464" t="s">
        <v>382</v>
      </c>
      <c r="Y163" s="1464" t="s">
        <v>382</v>
      </c>
      <c r="Z163" s="675"/>
      <c r="AA163" s="676"/>
      <c r="AB163" s="676"/>
      <c r="AC163" s="680"/>
      <c r="AD163" s="680"/>
      <c r="AE163" s="680"/>
      <c r="AF163" s="1474"/>
      <c r="AG163" s="1477"/>
      <c r="AH163" s="1477"/>
      <c r="AI163" s="1474"/>
      <c r="AJ163" s="1477"/>
      <c r="AK163" s="1478"/>
      <c r="AL163" s="71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1.25" customHeight="1">
      <c r="A164" s="303" t="s">
        <v>1032</v>
      </c>
      <c r="E164" s="10"/>
      <c r="F164" s="1446"/>
      <c r="G164" s="1447"/>
      <c r="H164" s="1447"/>
      <c r="I164" s="1468"/>
      <c r="J164" s="1471"/>
      <c r="K164" s="1473"/>
      <c r="L164" s="1468"/>
      <c r="M164" s="1447"/>
      <c r="N164" s="1459"/>
      <c r="O164" s="1483">
        <v>1</v>
      </c>
      <c r="P164" s="1462"/>
      <c r="Q164" s="1455"/>
      <c r="R164" s="1415"/>
      <c r="S164" s="1464"/>
      <c r="T164" s="1415"/>
      <c r="U164" s="1415"/>
      <c r="V164" s="1415"/>
      <c r="W164" s="1415"/>
      <c r="X164" s="1415"/>
      <c r="Y164" s="1415"/>
      <c r="Z164" s="987"/>
      <c r="AA164" s="978">
        <v>1</v>
      </c>
      <c r="AB164" s="679" t="s">
        <v>1094</v>
      </c>
      <c r="AC164" s="380">
        <v>6084.85</v>
      </c>
      <c r="AD164" s="679" t="str">
        <f>AB164</f>
        <v xml:space="preserve">  Кредиты</v>
      </c>
      <c r="AE164" s="421">
        <v>0</v>
      </c>
      <c r="AF164" s="1475"/>
      <c r="AG164" s="1477"/>
      <c r="AH164" s="1477"/>
      <c r="AI164" s="1475"/>
      <c r="AJ164" s="1477"/>
      <c r="AK164" s="1478"/>
      <c r="AL164" s="71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1.25" customHeight="1">
      <c r="A165" s="303" t="s">
        <v>1032</v>
      </c>
      <c r="E165" s="10"/>
      <c r="F165" s="1446"/>
      <c r="G165" s="1447"/>
      <c r="H165" s="1447"/>
      <c r="I165" s="1469"/>
      <c r="J165" s="1472"/>
      <c r="K165" s="1473"/>
      <c r="L165" s="1469"/>
      <c r="M165" s="1447"/>
      <c r="N165" s="1459"/>
      <c r="O165" s="1483">
        <v>1</v>
      </c>
      <c r="P165" s="1463"/>
      <c r="Q165" s="1455"/>
      <c r="R165" s="1415"/>
      <c r="S165" s="1464"/>
      <c r="T165" s="1415"/>
      <c r="U165" s="1415"/>
      <c r="V165" s="1415"/>
      <c r="W165" s="1415"/>
      <c r="X165" s="1415"/>
      <c r="Y165" s="1415"/>
      <c r="Z165" s="675"/>
      <c r="AA165" s="676"/>
      <c r="AB165" s="110" t="s">
        <v>1078</v>
      </c>
      <c r="AC165" s="680"/>
      <c r="AD165" s="680"/>
      <c r="AE165" s="680"/>
      <c r="AF165" s="1476"/>
      <c r="AG165" s="1477"/>
      <c r="AH165" s="1477"/>
      <c r="AI165" s="1476"/>
      <c r="AJ165" s="1477"/>
      <c r="AK165" s="1478"/>
      <c r="AL165" s="71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1.25" customHeight="1">
      <c r="A166" s="303" t="s">
        <v>1032</v>
      </c>
      <c r="E166" s="10"/>
      <c r="F166" s="1446"/>
      <c r="G166" s="1447"/>
      <c r="H166" s="1442" t="s">
        <v>1132</v>
      </c>
      <c r="I166" s="1454"/>
      <c r="J166" s="1465"/>
      <c r="K166" s="1456"/>
      <c r="L166" s="1169"/>
      <c r="M166" s="1170"/>
      <c r="N166" s="675"/>
      <c r="O166" s="676"/>
      <c r="P166" s="110" t="s">
        <v>1079</v>
      </c>
      <c r="Q166" s="676"/>
      <c r="R166" s="676"/>
      <c r="S166" s="676"/>
      <c r="T166" s="676"/>
      <c r="U166" s="676"/>
      <c r="V166" s="676"/>
      <c r="W166" s="676"/>
      <c r="X166" s="676"/>
      <c r="Y166" s="676"/>
      <c r="Z166" s="676"/>
      <c r="AA166" s="676"/>
      <c r="AB166" s="676"/>
      <c r="AC166" s="676"/>
      <c r="AD166" s="676"/>
      <c r="AE166" s="683"/>
      <c r="AF166" s="1457"/>
      <c r="AG166" s="1458"/>
      <c r="AH166" s="1458"/>
      <c r="AI166" s="1457"/>
      <c r="AJ166" s="1458"/>
      <c r="AK166" s="1458"/>
      <c r="AL166" s="71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1.25" customHeight="1">
      <c r="A167" s="303" t="s">
        <v>1032</v>
      </c>
      <c r="B167" s="303" t="s">
        <v>22</v>
      </c>
      <c r="E167" s="10"/>
      <c r="F167" s="1446"/>
      <c r="G167" s="1182" t="s">
        <v>122</v>
      </c>
      <c r="H167" s="1442" t="s">
        <v>1138</v>
      </c>
      <c r="I167" s="1454" t="s">
        <v>1135</v>
      </c>
      <c r="J167" s="1465" t="s">
        <v>22</v>
      </c>
      <c r="K167" s="1456" t="s">
        <v>1139</v>
      </c>
      <c r="L167" s="1169" t="s">
        <v>19</v>
      </c>
      <c r="M167" s="1170"/>
      <c r="N167" s="1053"/>
      <c r="O167" s="677" t="s">
        <v>382</v>
      </c>
      <c r="P167" s="678"/>
      <c r="Q167" s="678"/>
      <c r="R167" s="678"/>
      <c r="S167" s="678"/>
      <c r="T167" s="678"/>
      <c r="U167" s="678"/>
      <c r="V167" s="678"/>
      <c r="W167" s="678"/>
      <c r="X167" s="678"/>
      <c r="Y167" s="678"/>
      <c r="Z167" s="678"/>
      <c r="AA167" s="678"/>
      <c r="AB167" s="678"/>
      <c r="AC167" s="678"/>
      <c r="AD167" s="678"/>
      <c r="AE167" s="678"/>
      <c r="AF167" s="1457">
        <v>2023</v>
      </c>
      <c r="AG167" s="1458" t="s">
        <v>1081</v>
      </c>
      <c r="AH167" s="1458" t="s">
        <v>1069</v>
      </c>
      <c r="AI167" s="1466"/>
      <c r="AJ167" s="1458" t="s">
        <v>1084</v>
      </c>
      <c r="AK167" s="1458" t="s">
        <v>1084</v>
      </c>
      <c r="AL167" s="71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1.25" customHeight="1">
      <c r="A168" s="303" t="s">
        <v>1032</v>
      </c>
      <c r="E168" s="10"/>
      <c r="F168" s="1446"/>
      <c r="G168" s="1447"/>
      <c r="H168" s="1442" t="s">
        <v>1134</v>
      </c>
      <c r="I168" s="1454"/>
      <c r="J168" s="1465"/>
      <c r="K168" s="1456"/>
      <c r="L168" s="1169"/>
      <c r="M168" s="1170"/>
      <c r="N168" s="1459"/>
      <c r="O168" s="1460">
        <v>1</v>
      </c>
      <c r="P168" s="1461" t="s">
        <v>62</v>
      </c>
      <c r="Q168" s="1455" t="s">
        <v>1071</v>
      </c>
      <c r="R168" s="1464" t="s">
        <v>1072</v>
      </c>
      <c r="S168" s="1464" t="s">
        <v>100</v>
      </c>
      <c r="T168" s="1464" t="s">
        <v>100</v>
      </c>
      <c r="U168" s="1464" t="s">
        <v>101</v>
      </c>
      <c r="V168" s="1464" t="s">
        <v>1073</v>
      </c>
      <c r="W168" s="1464" t="s">
        <v>1074</v>
      </c>
      <c r="X168" s="1464" t="s">
        <v>1075</v>
      </c>
      <c r="Y168" s="1464" t="s">
        <v>1076</v>
      </c>
      <c r="Z168" s="675"/>
      <c r="AA168" s="676"/>
      <c r="AB168" s="676"/>
      <c r="AC168" s="680"/>
      <c r="AD168" s="680"/>
      <c r="AE168" s="681"/>
      <c r="AF168" s="1457"/>
      <c r="AG168" s="1458"/>
      <c r="AH168" s="1458"/>
      <c r="AI168" s="1466"/>
      <c r="AJ168" s="1458"/>
      <c r="AK168" s="1458"/>
      <c r="AL168" s="71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1.25" customHeight="1">
      <c r="A169" s="303" t="s">
        <v>1032</v>
      </c>
      <c r="E169" s="10"/>
      <c r="F169" s="1446"/>
      <c r="G169" s="1447"/>
      <c r="H169" s="1442" t="s">
        <v>1134</v>
      </c>
      <c r="I169" s="1454"/>
      <c r="J169" s="1465"/>
      <c r="K169" s="1456"/>
      <c r="L169" s="1169"/>
      <c r="M169" s="1170"/>
      <c r="N169" s="1459"/>
      <c r="O169" s="1460"/>
      <c r="P169" s="1462"/>
      <c r="Q169" s="1455"/>
      <c r="R169" s="1415"/>
      <c r="S169" s="1464"/>
      <c r="T169" s="1415"/>
      <c r="U169" s="1415"/>
      <c r="V169" s="1415"/>
      <c r="W169" s="1415"/>
      <c r="X169" s="1415"/>
      <c r="Y169" s="1415"/>
      <c r="Z169" s="987"/>
      <c r="AA169" s="978">
        <v>1</v>
      </c>
      <c r="AB169" s="679" t="s">
        <v>1094</v>
      </c>
      <c r="AC169" s="380">
        <v>27745.41</v>
      </c>
      <c r="AD169" s="679" t="str">
        <f>AB169</f>
        <v xml:space="preserve">  Кредиты</v>
      </c>
      <c r="AE169" s="380">
        <v>0</v>
      </c>
      <c r="AF169" s="1457"/>
      <c r="AG169" s="1458"/>
      <c r="AH169" s="1458"/>
      <c r="AI169" s="1466"/>
      <c r="AJ169" s="1458"/>
      <c r="AK169" s="1458"/>
      <c r="AL169" s="71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1.25" customHeight="1">
      <c r="A170" s="303" t="s">
        <v>1032</v>
      </c>
      <c r="E170" s="10"/>
      <c r="F170" s="1446"/>
      <c r="G170" s="1447"/>
      <c r="H170" s="1442" t="s">
        <v>1134</v>
      </c>
      <c r="I170" s="1454"/>
      <c r="J170" s="1465"/>
      <c r="K170" s="1456"/>
      <c r="L170" s="1169"/>
      <c r="M170" s="1170"/>
      <c r="N170" s="1459"/>
      <c r="O170" s="1460"/>
      <c r="P170" s="1463"/>
      <c r="Q170" s="1455"/>
      <c r="R170" s="1415"/>
      <c r="S170" s="1464"/>
      <c r="T170" s="1415"/>
      <c r="U170" s="1415"/>
      <c r="V170" s="1415"/>
      <c r="W170" s="1415"/>
      <c r="X170" s="1415"/>
      <c r="Y170" s="1415"/>
      <c r="Z170" s="675"/>
      <c r="AA170" s="676"/>
      <c r="AB170" s="110" t="s">
        <v>1078</v>
      </c>
      <c r="AC170" s="680"/>
      <c r="AD170" s="680"/>
      <c r="AE170" s="682"/>
      <c r="AF170" s="1457"/>
      <c r="AG170" s="1458"/>
      <c r="AH170" s="1458"/>
      <c r="AI170" s="1466"/>
      <c r="AJ170" s="1458"/>
      <c r="AK170" s="1458"/>
      <c r="AL170" s="71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1.25" customHeight="1">
      <c r="A171" s="303" t="s">
        <v>1032</v>
      </c>
      <c r="E171" s="10"/>
      <c r="F171" s="1446"/>
      <c r="G171" s="1447"/>
      <c r="H171" s="1442" t="s">
        <v>1134</v>
      </c>
      <c r="I171" s="1454"/>
      <c r="J171" s="1465"/>
      <c r="K171" s="1456"/>
      <c r="L171" s="1169"/>
      <c r="M171" s="1170"/>
      <c r="N171" s="675"/>
      <c r="O171" s="676"/>
      <c r="P171" s="110" t="s">
        <v>1079</v>
      </c>
      <c r="Q171" s="676"/>
      <c r="R171" s="676"/>
      <c r="S171" s="676"/>
      <c r="T171" s="676"/>
      <c r="U171" s="676"/>
      <c r="V171" s="676"/>
      <c r="W171" s="676"/>
      <c r="X171" s="676"/>
      <c r="Y171" s="676"/>
      <c r="Z171" s="676"/>
      <c r="AA171" s="676"/>
      <c r="AB171" s="676"/>
      <c r="AC171" s="676"/>
      <c r="AD171" s="676"/>
      <c r="AE171" s="683"/>
      <c r="AF171" s="1457"/>
      <c r="AG171" s="1458"/>
      <c r="AH171" s="1458"/>
      <c r="AI171" s="1466"/>
      <c r="AJ171" s="1458"/>
      <c r="AK171" s="1458"/>
      <c r="AL171" s="71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1.25" customHeight="1">
      <c r="A172" s="303" t="s">
        <v>1032</v>
      </c>
      <c r="B172" s="303" t="s">
        <v>22</v>
      </c>
      <c r="E172" s="10"/>
      <c r="F172" s="1446"/>
      <c r="G172" s="1182" t="s">
        <v>122</v>
      </c>
      <c r="H172" s="1442" t="s">
        <v>1140</v>
      </c>
      <c r="I172" s="1454" t="s">
        <v>1135</v>
      </c>
      <c r="J172" s="1465" t="s">
        <v>22</v>
      </c>
      <c r="K172" s="1456" t="s">
        <v>1141</v>
      </c>
      <c r="L172" s="1169" t="s">
        <v>19</v>
      </c>
      <c r="M172" s="1170"/>
      <c r="N172" s="1053"/>
      <c r="O172" s="677" t="s">
        <v>382</v>
      </c>
      <c r="P172" s="678"/>
      <c r="Q172" s="678"/>
      <c r="R172" s="678"/>
      <c r="S172" s="678"/>
      <c r="T172" s="678"/>
      <c r="U172" s="678"/>
      <c r="V172" s="678"/>
      <c r="W172" s="678"/>
      <c r="X172" s="678"/>
      <c r="Y172" s="678"/>
      <c r="Z172" s="678"/>
      <c r="AA172" s="678"/>
      <c r="AB172" s="678"/>
      <c r="AC172" s="678"/>
      <c r="AD172" s="678"/>
      <c r="AE172" s="678"/>
      <c r="AF172" s="1457">
        <v>2023</v>
      </c>
      <c r="AG172" s="1458" t="s">
        <v>1081</v>
      </c>
      <c r="AH172" s="1458" t="s">
        <v>1069</v>
      </c>
      <c r="AI172" s="1466"/>
      <c r="AJ172" s="1458" t="s">
        <v>1084</v>
      </c>
      <c r="AK172" s="1458" t="s">
        <v>1084</v>
      </c>
      <c r="AL172" s="71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1.25" customHeight="1">
      <c r="A173" s="303" t="s">
        <v>1032</v>
      </c>
      <c r="E173" s="10"/>
      <c r="F173" s="1446"/>
      <c r="G173" s="1447"/>
      <c r="H173" s="1442" t="s">
        <v>1138</v>
      </c>
      <c r="I173" s="1454"/>
      <c r="J173" s="1465"/>
      <c r="K173" s="1456"/>
      <c r="L173" s="1169"/>
      <c r="M173" s="1170"/>
      <c r="N173" s="1459"/>
      <c r="O173" s="1460">
        <v>1</v>
      </c>
      <c r="P173" s="1461" t="s">
        <v>62</v>
      </c>
      <c r="Q173" s="1455" t="s">
        <v>1071</v>
      </c>
      <c r="R173" s="1464" t="s">
        <v>1072</v>
      </c>
      <c r="S173" s="1464" t="s">
        <v>100</v>
      </c>
      <c r="T173" s="1464" t="s">
        <v>100</v>
      </c>
      <c r="U173" s="1464" t="s">
        <v>101</v>
      </c>
      <c r="V173" s="1464" t="s">
        <v>1073</v>
      </c>
      <c r="W173" s="1464" t="s">
        <v>1074</v>
      </c>
      <c r="X173" s="1464" t="s">
        <v>1075</v>
      </c>
      <c r="Y173" s="1464" t="s">
        <v>1076</v>
      </c>
      <c r="Z173" s="675"/>
      <c r="AA173" s="676"/>
      <c r="AB173" s="676"/>
      <c r="AC173" s="680"/>
      <c r="AD173" s="680"/>
      <c r="AE173" s="681"/>
      <c r="AF173" s="1457"/>
      <c r="AG173" s="1458"/>
      <c r="AH173" s="1458"/>
      <c r="AI173" s="1466"/>
      <c r="AJ173" s="1458"/>
      <c r="AK173" s="1458"/>
      <c r="AL173" s="71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1.25" customHeight="1">
      <c r="A174" s="303" t="s">
        <v>1032</v>
      </c>
      <c r="E174" s="10"/>
      <c r="F174" s="1446"/>
      <c r="G174" s="1447"/>
      <c r="H174" s="1442" t="s">
        <v>1138</v>
      </c>
      <c r="I174" s="1454"/>
      <c r="J174" s="1465"/>
      <c r="K174" s="1456"/>
      <c r="L174" s="1169"/>
      <c r="M174" s="1170"/>
      <c r="N174" s="1459"/>
      <c r="O174" s="1460"/>
      <c r="P174" s="1462"/>
      <c r="Q174" s="1455"/>
      <c r="R174" s="1415"/>
      <c r="S174" s="1464"/>
      <c r="T174" s="1415"/>
      <c r="U174" s="1415"/>
      <c r="V174" s="1415"/>
      <c r="W174" s="1415"/>
      <c r="X174" s="1415"/>
      <c r="Y174" s="1415"/>
      <c r="Z174" s="987"/>
      <c r="AA174" s="978">
        <v>1</v>
      </c>
      <c r="AB174" s="679" t="s">
        <v>1094</v>
      </c>
      <c r="AC174" s="380">
        <v>10351.82</v>
      </c>
      <c r="AD174" s="679" t="str">
        <f>AB174</f>
        <v xml:space="preserve">  Кредиты</v>
      </c>
      <c r="AE174" s="380">
        <v>0</v>
      </c>
      <c r="AF174" s="1457"/>
      <c r="AG174" s="1458"/>
      <c r="AH174" s="1458"/>
      <c r="AI174" s="1466"/>
      <c r="AJ174" s="1458"/>
      <c r="AK174" s="1458"/>
      <c r="AL174" s="71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1.25" customHeight="1">
      <c r="A175" s="303" t="s">
        <v>1032</v>
      </c>
      <c r="E175" s="10"/>
      <c r="F175" s="1446"/>
      <c r="G175" s="1447"/>
      <c r="H175" s="1442" t="s">
        <v>1138</v>
      </c>
      <c r="I175" s="1454"/>
      <c r="J175" s="1465"/>
      <c r="K175" s="1456"/>
      <c r="L175" s="1169"/>
      <c r="M175" s="1170"/>
      <c r="N175" s="1459"/>
      <c r="O175" s="1460"/>
      <c r="P175" s="1463"/>
      <c r="Q175" s="1455"/>
      <c r="R175" s="1415"/>
      <c r="S175" s="1464"/>
      <c r="T175" s="1415"/>
      <c r="U175" s="1415"/>
      <c r="V175" s="1415"/>
      <c r="W175" s="1415"/>
      <c r="X175" s="1415"/>
      <c r="Y175" s="1415"/>
      <c r="Z175" s="675"/>
      <c r="AA175" s="676"/>
      <c r="AB175" s="110" t="s">
        <v>1078</v>
      </c>
      <c r="AC175" s="680"/>
      <c r="AD175" s="680"/>
      <c r="AE175" s="682"/>
      <c r="AF175" s="1457"/>
      <c r="AG175" s="1458"/>
      <c r="AH175" s="1458"/>
      <c r="AI175" s="1466"/>
      <c r="AJ175" s="1458"/>
      <c r="AK175" s="1458"/>
      <c r="AL175" s="71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1.25" customHeight="1">
      <c r="A176" s="303" t="s">
        <v>1032</v>
      </c>
      <c r="E176" s="10"/>
      <c r="F176" s="1446"/>
      <c r="G176" s="1447"/>
      <c r="H176" s="1442" t="s">
        <v>1138</v>
      </c>
      <c r="I176" s="1454"/>
      <c r="J176" s="1465"/>
      <c r="K176" s="1456"/>
      <c r="L176" s="1169"/>
      <c r="M176" s="1170"/>
      <c r="N176" s="675"/>
      <c r="O176" s="676"/>
      <c r="P176" s="110" t="s">
        <v>1079</v>
      </c>
      <c r="Q176" s="676"/>
      <c r="R176" s="676"/>
      <c r="S176" s="676"/>
      <c r="T176" s="676"/>
      <c r="U176" s="676"/>
      <c r="V176" s="676"/>
      <c r="W176" s="676"/>
      <c r="X176" s="676"/>
      <c r="Y176" s="676"/>
      <c r="Z176" s="676"/>
      <c r="AA176" s="676"/>
      <c r="AB176" s="676"/>
      <c r="AC176" s="676"/>
      <c r="AD176" s="676"/>
      <c r="AE176" s="683"/>
      <c r="AF176" s="1457"/>
      <c r="AG176" s="1458"/>
      <c r="AH176" s="1458"/>
      <c r="AI176" s="1466"/>
      <c r="AJ176" s="1458"/>
      <c r="AK176" s="1458"/>
      <c r="AL176" s="71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1.25" customHeight="1">
      <c r="A177" s="303" t="s">
        <v>1032</v>
      </c>
      <c r="B177" s="303" t="s">
        <v>1142</v>
      </c>
      <c r="E177" s="10"/>
      <c r="F177" s="1446"/>
      <c r="G177" s="1182" t="s">
        <v>122</v>
      </c>
      <c r="H177" s="1442" t="s">
        <v>1143</v>
      </c>
      <c r="I177" s="1454" t="s">
        <v>1144</v>
      </c>
      <c r="J177" s="1455" t="s">
        <v>1145</v>
      </c>
      <c r="K177" s="1456" t="s">
        <v>1146</v>
      </c>
      <c r="L177" s="1169" t="s">
        <v>19</v>
      </c>
      <c r="M177" s="1170"/>
      <c r="N177" s="1053"/>
      <c r="O177" s="677" t="s">
        <v>382</v>
      </c>
      <c r="P177" s="678"/>
      <c r="Q177" s="678"/>
      <c r="R177" s="678"/>
      <c r="S177" s="678"/>
      <c r="T177" s="678"/>
      <c r="U177" s="678"/>
      <c r="V177" s="678"/>
      <c r="W177" s="678"/>
      <c r="X177" s="678"/>
      <c r="Y177" s="678"/>
      <c r="Z177" s="678"/>
      <c r="AA177" s="678"/>
      <c r="AB177" s="678"/>
      <c r="AC177" s="678"/>
      <c r="AD177" s="678"/>
      <c r="AE177" s="678"/>
      <c r="AF177" s="1457">
        <v>2023</v>
      </c>
      <c r="AG177" s="1458" t="s">
        <v>1081</v>
      </c>
      <c r="AH177" s="1458" t="s">
        <v>1069</v>
      </c>
      <c r="AI177" s="1466"/>
      <c r="AJ177" s="1458" t="s">
        <v>1084</v>
      </c>
      <c r="AK177" s="1458" t="s">
        <v>1084</v>
      </c>
      <c r="AL177" s="71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1.25" customHeight="1">
      <c r="A178" s="303" t="s">
        <v>1032</v>
      </c>
      <c r="E178" s="10"/>
      <c r="F178" s="1446"/>
      <c r="G178" s="1447"/>
      <c r="H178" s="1442" t="s">
        <v>1140</v>
      </c>
      <c r="I178" s="1454"/>
      <c r="J178" s="1455"/>
      <c r="K178" s="1456"/>
      <c r="L178" s="1169"/>
      <c r="M178" s="1170"/>
      <c r="N178" s="1459"/>
      <c r="O178" s="1460">
        <v>1</v>
      </c>
      <c r="P178" s="1461" t="s">
        <v>62</v>
      </c>
      <c r="Q178" s="1455" t="s">
        <v>1071</v>
      </c>
      <c r="R178" s="1464" t="s">
        <v>1072</v>
      </c>
      <c r="S178" s="1464" t="s">
        <v>100</v>
      </c>
      <c r="T178" s="1464" t="s">
        <v>100</v>
      </c>
      <c r="U178" s="1464" t="s">
        <v>101</v>
      </c>
      <c r="V178" s="1464" t="s">
        <v>1073</v>
      </c>
      <c r="W178" s="1464" t="s">
        <v>1074</v>
      </c>
      <c r="X178" s="1464" t="s">
        <v>1075</v>
      </c>
      <c r="Y178" s="1464" t="s">
        <v>1076</v>
      </c>
      <c r="Z178" s="675"/>
      <c r="AA178" s="676"/>
      <c r="AB178" s="676"/>
      <c r="AC178" s="680"/>
      <c r="AD178" s="680"/>
      <c r="AE178" s="681"/>
      <c r="AF178" s="1457"/>
      <c r="AG178" s="1458"/>
      <c r="AH178" s="1458"/>
      <c r="AI178" s="1466"/>
      <c r="AJ178" s="1458"/>
      <c r="AK178" s="1458"/>
      <c r="AL178" s="71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1.25" customHeight="1">
      <c r="A179" s="303" t="s">
        <v>1032</v>
      </c>
      <c r="E179" s="10"/>
      <c r="F179" s="1446"/>
      <c r="G179" s="1447"/>
      <c r="H179" s="1442" t="s">
        <v>1140</v>
      </c>
      <c r="I179" s="1454"/>
      <c r="J179" s="1455"/>
      <c r="K179" s="1456"/>
      <c r="L179" s="1169"/>
      <c r="M179" s="1170"/>
      <c r="N179" s="1459"/>
      <c r="O179" s="1460"/>
      <c r="P179" s="1462"/>
      <c r="Q179" s="1455"/>
      <c r="R179" s="1415"/>
      <c r="S179" s="1464"/>
      <c r="T179" s="1415"/>
      <c r="U179" s="1415"/>
      <c r="V179" s="1415"/>
      <c r="W179" s="1415"/>
      <c r="X179" s="1415"/>
      <c r="Y179" s="1415"/>
      <c r="Z179" s="987"/>
      <c r="AA179" s="978">
        <v>1</v>
      </c>
      <c r="AB179" s="679" t="s">
        <v>1088</v>
      </c>
      <c r="AC179" s="380">
        <v>2983.21</v>
      </c>
      <c r="AD179" s="679" t="str">
        <f>AB179</f>
        <v xml:space="preserve">     Амортизационные отчисления за исключением переоценки основных средств и нематериальных активов</v>
      </c>
      <c r="AE179" s="380">
        <v>0</v>
      </c>
      <c r="AF179" s="1457"/>
      <c r="AG179" s="1458"/>
      <c r="AH179" s="1458"/>
      <c r="AI179" s="1466"/>
      <c r="AJ179" s="1458"/>
      <c r="AK179" s="1458"/>
      <c r="AL179" s="71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1.25" customHeight="1">
      <c r="A180" s="303" t="s">
        <v>1032</v>
      </c>
      <c r="E180" s="10"/>
      <c r="F180" s="1446"/>
      <c r="G180" s="1447"/>
      <c r="H180" s="1442" t="s">
        <v>1140</v>
      </c>
      <c r="I180" s="1454"/>
      <c r="J180" s="1455"/>
      <c r="K180" s="1456"/>
      <c r="L180" s="1169"/>
      <c r="M180" s="1170"/>
      <c r="N180" s="1459"/>
      <c r="O180" s="1460"/>
      <c r="P180" s="1463"/>
      <c r="Q180" s="1455"/>
      <c r="R180" s="1415"/>
      <c r="S180" s="1464"/>
      <c r="T180" s="1415"/>
      <c r="U180" s="1415"/>
      <c r="V180" s="1415"/>
      <c r="W180" s="1415"/>
      <c r="X180" s="1415"/>
      <c r="Y180" s="1415"/>
      <c r="Z180" s="675"/>
      <c r="AA180" s="676"/>
      <c r="AB180" s="110" t="s">
        <v>1078</v>
      </c>
      <c r="AC180" s="680"/>
      <c r="AD180" s="680"/>
      <c r="AE180" s="682"/>
      <c r="AF180" s="1457"/>
      <c r="AG180" s="1458"/>
      <c r="AH180" s="1458"/>
      <c r="AI180" s="1466"/>
      <c r="AJ180" s="1458"/>
      <c r="AK180" s="1458"/>
      <c r="AL180" s="71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1.25" customHeight="1">
      <c r="A181" s="303" t="s">
        <v>1032</v>
      </c>
      <c r="E181" s="10"/>
      <c r="F181" s="1446"/>
      <c r="G181" s="1447"/>
      <c r="H181" s="1442" t="s">
        <v>1140</v>
      </c>
      <c r="I181" s="1454"/>
      <c r="J181" s="1455"/>
      <c r="K181" s="1456"/>
      <c r="L181" s="1169"/>
      <c r="M181" s="1170"/>
      <c r="N181" s="675"/>
      <c r="O181" s="676"/>
      <c r="P181" s="110" t="s">
        <v>1079</v>
      </c>
      <c r="Q181" s="676"/>
      <c r="R181" s="676"/>
      <c r="S181" s="676"/>
      <c r="T181" s="676"/>
      <c r="U181" s="676"/>
      <c r="V181" s="676"/>
      <c r="W181" s="676"/>
      <c r="X181" s="676"/>
      <c r="Y181" s="676"/>
      <c r="Z181" s="676"/>
      <c r="AA181" s="676"/>
      <c r="AB181" s="676"/>
      <c r="AC181" s="676"/>
      <c r="AD181" s="676"/>
      <c r="AE181" s="683"/>
      <c r="AF181" s="1457"/>
      <c r="AG181" s="1458"/>
      <c r="AH181" s="1458"/>
      <c r="AI181" s="1466"/>
      <c r="AJ181" s="1458"/>
      <c r="AK181" s="1458"/>
      <c r="AL181" s="71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1.25" customHeight="1">
      <c r="A182" s="303" t="s">
        <v>1032</v>
      </c>
      <c r="B182" s="303" t="s">
        <v>22</v>
      </c>
      <c r="E182" s="10"/>
      <c r="F182" s="1446"/>
      <c r="G182" s="1182" t="s">
        <v>122</v>
      </c>
      <c r="H182" s="1442" t="s">
        <v>1147</v>
      </c>
      <c r="I182" s="1454" t="s">
        <v>1148</v>
      </c>
      <c r="J182" s="1465" t="s">
        <v>22</v>
      </c>
      <c r="K182" s="1456" t="s">
        <v>1149</v>
      </c>
      <c r="L182" s="1169" t="s">
        <v>19</v>
      </c>
      <c r="M182" s="1170"/>
      <c r="N182" s="1053"/>
      <c r="O182" s="677" t="s">
        <v>382</v>
      </c>
      <c r="P182" s="678"/>
      <c r="Q182" s="678"/>
      <c r="R182" s="678"/>
      <c r="S182" s="678"/>
      <c r="T182" s="678"/>
      <c r="U182" s="678"/>
      <c r="V182" s="678"/>
      <c r="W182" s="678"/>
      <c r="X182" s="678"/>
      <c r="Y182" s="678"/>
      <c r="Z182" s="678"/>
      <c r="AA182" s="678"/>
      <c r="AB182" s="678"/>
      <c r="AC182" s="678"/>
      <c r="AD182" s="678"/>
      <c r="AE182" s="678"/>
      <c r="AF182" s="1457">
        <v>2023</v>
      </c>
      <c r="AG182" s="1458" t="s">
        <v>1115</v>
      </c>
      <c r="AH182" s="1458" t="s">
        <v>1069</v>
      </c>
      <c r="AI182" s="1457">
        <v>2023</v>
      </c>
      <c r="AJ182" s="1458" t="s">
        <v>1115</v>
      </c>
      <c r="AK182" s="1458" t="s">
        <v>1069</v>
      </c>
      <c r="AL182" s="71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1.25" customHeight="1">
      <c r="A183" s="303" t="s">
        <v>1032</v>
      </c>
      <c r="E183" s="10"/>
      <c r="F183" s="1446"/>
      <c r="G183" s="1447"/>
      <c r="H183" s="1442" t="s">
        <v>1143</v>
      </c>
      <c r="I183" s="1454"/>
      <c r="J183" s="1465"/>
      <c r="K183" s="1456"/>
      <c r="L183" s="1169"/>
      <c r="M183" s="1170"/>
      <c r="N183" s="1459"/>
      <c r="O183" s="1460">
        <v>1</v>
      </c>
      <c r="P183" s="1461" t="s">
        <v>62</v>
      </c>
      <c r="Q183" s="1455" t="s">
        <v>1085</v>
      </c>
      <c r="R183" s="1464" t="s">
        <v>1072</v>
      </c>
      <c r="S183" s="1464" t="s">
        <v>100</v>
      </c>
      <c r="T183" s="1464" t="s">
        <v>100</v>
      </c>
      <c r="U183" s="1464" t="s">
        <v>101</v>
      </c>
      <c r="V183" s="1464" t="s">
        <v>1073</v>
      </c>
      <c r="W183" s="1464" t="s">
        <v>1074</v>
      </c>
      <c r="X183" s="1464" t="s">
        <v>1086</v>
      </c>
      <c r="Y183" s="1464" t="s">
        <v>1087</v>
      </c>
      <c r="Z183" s="675"/>
      <c r="AA183" s="676"/>
      <c r="AB183" s="676"/>
      <c r="AC183" s="680"/>
      <c r="AD183" s="680"/>
      <c r="AE183" s="681"/>
      <c r="AF183" s="1457"/>
      <c r="AG183" s="1458"/>
      <c r="AH183" s="1458"/>
      <c r="AI183" s="1457"/>
      <c r="AJ183" s="1458"/>
      <c r="AK183" s="1458"/>
      <c r="AL183" s="71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54" customHeight="1">
      <c r="A184" s="303" t="s">
        <v>1032</v>
      </c>
      <c r="E184" s="10"/>
      <c r="F184" s="1446"/>
      <c r="G184" s="1447"/>
      <c r="H184" s="1442" t="s">
        <v>1143</v>
      </c>
      <c r="I184" s="1454"/>
      <c r="J184" s="1465"/>
      <c r="K184" s="1456"/>
      <c r="L184" s="1169"/>
      <c r="M184" s="1170"/>
      <c r="N184" s="1459"/>
      <c r="O184" s="1460"/>
      <c r="P184" s="1462"/>
      <c r="Q184" s="1455"/>
      <c r="R184" s="1415"/>
      <c r="S184" s="1464"/>
      <c r="T184" s="1415"/>
      <c r="U184" s="1415"/>
      <c r="V184" s="1415"/>
      <c r="W184" s="1415"/>
      <c r="X184" s="1415"/>
      <c r="Y184" s="1415"/>
      <c r="Z184" s="987"/>
      <c r="AA184" s="978">
        <v>1</v>
      </c>
      <c r="AB184" s="679" t="s">
        <v>1088</v>
      </c>
      <c r="AC184" s="380">
        <v>3683.48</v>
      </c>
      <c r="AD184" s="679" t="str">
        <f>AB184</f>
        <v xml:space="preserve">     Амортизационные отчисления за исключением переоценки основных средств и нематериальных активов</v>
      </c>
      <c r="AE184" s="380">
        <v>3683.48</v>
      </c>
      <c r="AF184" s="1457"/>
      <c r="AG184" s="1458"/>
      <c r="AH184" s="1458"/>
      <c r="AI184" s="1457"/>
      <c r="AJ184" s="1458"/>
      <c r="AK184" s="1458"/>
      <c r="AL184" s="71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1.25" customHeight="1">
      <c r="A185" s="303" t="s">
        <v>1032</v>
      </c>
      <c r="E185" s="10"/>
      <c r="F185" s="1446"/>
      <c r="G185" s="1447"/>
      <c r="H185" s="1442" t="s">
        <v>1143</v>
      </c>
      <c r="I185" s="1454"/>
      <c r="J185" s="1465"/>
      <c r="K185" s="1456"/>
      <c r="L185" s="1169"/>
      <c r="M185" s="1170"/>
      <c r="N185" s="1459"/>
      <c r="O185" s="1460"/>
      <c r="P185" s="1463"/>
      <c r="Q185" s="1455"/>
      <c r="R185" s="1415"/>
      <c r="S185" s="1464"/>
      <c r="T185" s="1415"/>
      <c r="U185" s="1415"/>
      <c r="V185" s="1415"/>
      <c r="W185" s="1415"/>
      <c r="X185" s="1415"/>
      <c r="Y185" s="1415"/>
      <c r="Z185" s="675"/>
      <c r="AA185" s="676"/>
      <c r="AB185" s="110" t="s">
        <v>1078</v>
      </c>
      <c r="AC185" s="680"/>
      <c r="AD185" s="680"/>
      <c r="AE185" s="682"/>
      <c r="AF185" s="1457"/>
      <c r="AG185" s="1458"/>
      <c r="AH185" s="1458"/>
      <c r="AI185" s="1457"/>
      <c r="AJ185" s="1458"/>
      <c r="AK185" s="1458"/>
      <c r="AL185" s="71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1.25" customHeight="1">
      <c r="A186" s="303" t="s">
        <v>1032</v>
      </c>
      <c r="E186" s="10"/>
      <c r="F186" s="1446"/>
      <c r="G186" s="1447"/>
      <c r="H186" s="1442" t="s">
        <v>1143</v>
      </c>
      <c r="I186" s="1454"/>
      <c r="J186" s="1465"/>
      <c r="K186" s="1456"/>
      <c r="L186" s="1169"/>
      <c r="M186" s="1170"/>
      <c r="N186" s="675"/>
      <c r="O186" s="676"/>
      <c r="P186" s="110" t="s">
        <v>1079</v>
      </c>
      <c r="Q186" s="676"/>
      <c r="R186" s="676"/>
      <c r="S186" s="676"/>
      <c r="T186" s="676"/>
      <c r="U186" s="676"/>
      <c r="V186" s="676"/>
      <c r="W186" s="676"/>
      <c r="X186" s="676"/>
      <c r="Y186" s="676"/>
      <c r="Z186" s="676"/>
      <c r="AA186" s="676"/>
      <c r="AB186" s="676"/>
      <c r="AC186" s="676"/>
      <c r="AD186" s="676"/>
      <c r="AE186" s="683"/>
      <c r="AF186" s="1457"/>
      <c r="AG186" s="1458"/>
      <c r="AH186" s="1458"/>
      <c r="AI186" s="1457"/>
      <c r="AJ186" s="1458"/>
      <c r="AK186" s="1458"/>
      <c r="AL186" s="71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1.25" customHeight="1">
      <c r="A187" s="303" t="s">
        <v>1032</v>
      </c>
      <c r="B187" s="303" t="s">
        <v>22</v>
      </c>
      <c r="E187" s="10"/>
      <c r="F187" s="1446"/>
      <c r="G187" s="1182" t="s">
        <v>122</v>
      </c>
      <c r="H187" s="1442" t="s">
        <v>1097</v>
      </c>
      <c r="I187" s="1454" t="s">
        <v>1148</v>
      </c>
      <c r="J187" s="1465" t="s">
        <v>22</v>
      </c>
      <c r="K187" s="1456" t="s">
        <v>1150</v>
      </c>
      <c r="L187" s="1169" t="s">
        <v>19</v>
      </c>
      <c r="M187" s="1170"/>
      <c r="N187" s="1053"/>
      <c r="O187" s="677" t="s">
        <v>382</v>
      </c>
      <c r="P187" s="678"/>
      <c r="Q187" s="678"/>
      <c r="R187" s="678"/>
      <c r="S187" s="678"/>
      <c r="T187" s="678"/>
      <c r="U187" s="678"/>
      <c r="V187" s="678"/>
      <c r="W187" s="678"/>
      <c r="X187" s="678"/>
      <c r="Y187" s="678"/>
      <c r="Z187" s="678"/>
      <c r="AA187" s="678"/>
      <c r="AB187" s="678"/>
      <c r="AC187" s="678"/>
      <c r="AD187" s="678"/>
      <c r="AE187" s="678"/>
      <c r="AF187" s="1457">
        <v>2023</v>
      </c>
      <c r="AG187" s="1458" t="s">
        <v>1070</v>
      </c>
      <c r="AH187" s="1458" t="s">
        <v>1069</v>
      </c>
      <c r="AI187" s="1457">
        <v>2023</v>
      </c>
      <c r="AJ187" s="1458" t="s">
        <v>1070</v>
      </c>
      <c r="AK187" s="1458" t="s">
        <v>1069</v>
      </c>
      <c r="AL187" s="71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1.25" customHeight="1">
      <c r="A188" s="303" t="s">
        <v>1032</v>
      </c>
      <c r="E188" s="10"/>
      <c r="F188" s="1446"/>
      <c r="G188" s="1447"/>
      <c r="H188" s="1442" t="s">
        <v>1147</v>
      </c>
      <c r="I188" s="1454"/>
      <c r="J188" s="1465"/>
      <c r="K188" s="1456"/>
      <c r="L188" s="1169"/>
      <c r="M188" s="1170"/>
      <c r="N188" s="1459"/>
      <c r="O188" s="1460">
        <v>1</v>
      </c>
      <c r="P188" s="1461" t="s">
        <v>62</v>
      </c>
      <c r="Q188" s="1455" t="s">
        <v>1085</v>
      </c>
      <c r="R188" s="1464" t="s">
        <v>1072</v>
      </c>
      <c r="S188" s="1464" t="s">
        <v>100</v>
      </c>
      <c r="T188" s="1464" t="s">
        <v>100</v>
      </c>
      <c r="U188" s="1464" t="s">
        <v>101</v>
      </c>
      <c r="V188" s="1464" t="s">
        <v>1073</v>
      </c>
      <c r="W188" s="1464" t="s">
        <v>1074</v>
      </c>
      <c r="X188" s="1464" t="s">
        <v>1086</v>
      </c>
      <c r="Y188" s="1464" t="s">
        <v>1087</v>
      </c>
      <c r="Z188" s="675"/>
      <c r="AA188" s="676"/>
      <c r="AB188" s="676"/>
      <c r="AC188" s="680"/>
      <c r="AD188" s="680"/>
      <c r="AE188" s="681"/>
      <c r="AF188" s="1457"/>
      <c r="AG188" s="1458"/>
      <c r="AH188" s="1458"/>
      <c r="AI188" s="1457"/>
      <c r="AJ188" s="1458"/>
      <c r="AK188" s="1458"/>
      <c r="AL188" s="71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32.25" customHeight="1">
      <c r="A189" s="303" t="s">
        <v>1032</v>
      </c>
      <c r="E189" s="10"/>
      <c r="F189" s="1446"/>
      <c r="G189" s="1447"/>
      <c r="H189" s="1442" t="s">
        <v>1147</v>
      </c>
      <c r="I189" s="1454"/>
      <c r="J189" s="1465"/>
      <c r="K189" s="1456"/>
      <c r="L189" s="1169"/>
      <c r="M189" s="1170"/>
      <c r="N189" s="1459"/>
      <c r="O189" s="1460"/>
      <c r="P189" s="1462"/>
      <c r="Q189" s="1455"/>
      <c r="R189" s="1415"/>
      <c r="S189" s="1464"/>
      <c r="T189" s="1415"/>
      <c r="U189" s="1415"/>
      <c r="V189" s="1415"/>
      <c r="W189" s="1415"/>
      <c r="X189" s="1415"/>
      <c r="Y189" s="1415"/>
      <c r="Z189" s="987"/>
      <c r="AA189" s="978">
        <v>1</v>
      </c>
      <c r="AB189" s="679" t="s">
        <v>1088</v>
      </c>
      <c r="AC189" s="380">
        <f>9912/2</f>
        <v>4956</v>
      </c>
      <c r="AD189" s="679" t="str">
        <f>AB189</f>
        <v xml:space="preserve">     Амортизационные отчисления за исключением переоценки основных средств и нематериальных активов</v>
      </c>
      <c r="AE189" s="380">
        <f>7830/2</f>
        <v>3915</v>
      </c>
      <c r="AF189" s="1457"/>
      <c r="AG189" s="1458"/>
      <c r="AH189" s="1458"/>
      <c r="AI189" s="1457"/>
      <c r="AJ189" s="1458"/>
      <c r="AK189" s="1458"/>
      <c r="AL189" s="71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3.5" customHeight="1">
      <c r="A190" s="303" t="s">
        <v>1032</v>
      </c>
      <c r="E190" s="10"/>
      <c r="F190" s="1446"/>
      <c r="G190" s="1447"/>
      <c r="H190" s="1442" t="s">
        <v>1147</v>
      </c>
      <c r="I190" s="1454"/>
      <c r="J190" s="1465"/>
      <c r="K190" s="1456"/>
      <c r="L190" s="1169"/>
      <c r="M190" s="1170"/>
      <c r="N190" s="1459"/>
      <c r="O190" s="1460"/>
      <c r="P190" s="1463"/>
      <c r="Q190" s="1455"/>
      <c r="R190" s="1415"/>
      <c r="S190" s="1464"/>
      <c r="T190" s="1415"/>
      <c r="U190" s="1415"/>
      <c r="V190" s="1415"/>
      <c r="W190" s="1415"/>
      <c r="X190" s="1415"/>
      <c r="Y190" s="1415"/>
      <c r="Z190" s="675"/>
      <c r="AA190" s="676"/>
      <c r="AB190" s="110" t="s">
        <v>1078</v>
      </c>
      <c r="AC190" s="680"/>
      <c r="AD190" s="680"/>
      <c r="AE190" s="682"/>
      <c r="AF190" s="1457"/>
      <c r="AG190" s="1458"/>
      <c r="AH190" s="1458"/>
      <c r="AI190" s="1457"/>
      <c r="AJ190" s="1458"/>
      <c r="AK190" s="1458"/>
      <c r="AL190" s="71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1.25" customHeight="1">
      <c r="A191" s="303" t="s">
        <v>1032</v>
      </c>
      <c r="E191" s="10"/>
      <c r="F191" s="1446"/>
      <c r="G191" s="1447"/>
      <c r="H191" s="1447"/>
      <c r="I191" s="1467"/>
      <c r="J191" s="1470"/>
      <c r="K191" s="1473"/>
      <c r="L191" s="1467"/>
      <c r="M191" s="1447"/>
      <c r="N191" s="1182" t="s">
        <v>122</v>
      </c>
      <c r="O191" s="1483" t="s">
        <v>110</v>
      </c>
      <c r="P191" s="1461" t="s">
        <v>62</v>
      </c>
      <c r="Q191" s="1455" t="s">
        <v>1151</v>
      </c>
      <c r="R191" s="1464" t="s">
        <v>1072</v>
      </c>
      <c r="S191" s="1464" t="s">
        <v>100</v>
      </c>
      <c r="T191" s="1464" t="s">
        <v>100</v>
      </c>
      <c r="U191" s="1464" t="s">
        <v>101</v>
      </c>
      <c r="V191" s="1464" t="s">
        <v>1073</v>
      </c>
      <c r="W191" s="1464" t="s">
        <v>1074</v>
      </c>
      <c r="X191" s="1464" t="s">
        <v>382</v>
      </c>
      <c r="Y191" s="1464" t="s">
        <v>382</v>
      </c>
      <c r="Z191" s="675"/>
      <c r="AA191" s="676"/>
      <c r="AB191" s="676"/>
      <c r="AC191" s="680"/>
      <c r="AD191" s="680"/>
      <c r="AE191" s="680"/>
      <c r="AF191" s="1474"/>
      <c r="AG191" s="1477"/>
      <c r="AH191" s="1477"/>
      <c r="AI191" s="1474"/>
      <c r="AJ191" s="1477"/>
      <c r="AK191" s="1478"/>
      <c r="AL191" s="71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32.25" customHeight="1">
      <c r="A192" s="303" t="s">
        <v>1032</v>
      </c>
      <c r="E192" s="10"/>
      <c r="F192" s="1446"/>
      <c r="G192" s="1447"/>
      <c r="H192" s="1447"/>
      <c r="I192" s="1468"/>
      <c r="J192" s="1471"/>
      <c r="K192" s="1473"/>
      <c r="L192" s="1468"/>
      <c r="M192" s="1447"/>
      <c r="N192" s="1459"/>
      <c r="O192" s="1483">
        <v>1</v>
      </c>
      <c r="P192" s="1462"/>
      <c r="Q192" s="1455"/>
      <c r="R192" s="1415"/>
      <c r="S192" s="1464"/>
      <c r="T192" s="1415"/>
      <c r="U192" s="1415"/>
      <c r="V192" s="1415"/>
      <c r="W192" s="1415"/>
      <c r="X192" s="1415"/>
      <c r="Y192" s="1415"/>
      <c r="Z192" s="987"/>
      <c r="AA192" s="978">
        <v>1</v>
      </c>
      <c r="AB192" s="679" t="s">
        <v>1088</v>
      </c>
      <c r="AC192" s="380">
        <f>9912/2</f>
        <v>4956</v>
      </c>
      <c r="AD192" s="679" t="str">
        <f>AB192</f>
        <v xml:space="preserve">     Амортизационные отчисления за исключением переоценки основных средств и нематериальных активов</v>
      </c>
      <c r="AE192" s="421">
        <v>3915</v>
      </c>
      <c r="AF192" s="1475"/>
      <c r="AG192" s="1477"/>
      <c r="AH192" s="1477"/>
      <c r="AI192" s="1475"/>
      <c r="AJ192" s="1477"/>
      <c r="AK192" s="1478"/>
      <c r="AL192" s="71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1.25" customHeight="1">
      <c r="A193" s="303" t="s">
        <v>1032</v>
      </c>
      <c r="E193" s="10"/>
      <c r="F193" s="1446"/>
      <c r="G193" s="1447"/>
      <c r="H193" s="1447"/>
      <c r="I193" s="1469"/>
      <c r="J193" s="1472"/>
      <c r="K193" s="1473"/>
      <c r="L193" s="1469"/>
      <c r="M193" s="1447"/>
      <c r="N193" s="1459"/>
      <c r="O193" s="1483">
        <v>1</v>
      </c>
      <c r="P193" s="1463"/>
      <c r="Q193" s="1455"/>
      <c r="R193" s="1415"/>
      <c r="S193" s="1464"/>
      <c r="T193" s="1415"/>
      <c r="U193" s="1415"/>
      <c r="V193" s="1415"/>
      <c r="W193" s="1415"/>
      <c r="X193" s="1415"/>
      <c r="Y193" s="1415"/>
      <c r="Z193" s="675"/>
      <c r="AA193" s="676"/>
      <c r="AB193" s="110" t="s">
        <v>1078</v>
      </c>
      <c r="AC193" s="680"/>
      <c r="AD193" s="680"/>
      <c r="AE193" s="680"/>
      <c r="AF193" s="1476"/>
      <c r="AG193" s="1477"/>
      <c r="AH193" s="1477"/>
      <c r="AI193" s="1476"/>
      <c r="AJ193" s="1477"/>
      <c r="AK193" s="1478"/>
      <c r="AL193" s="71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1.25" customHeight="1">
      <c r="A194" s="303" t="s">
        <v>1032</v>
      </c>
      <c r="E194" s="10"/>
      <c r="F194" s="1446"/>
      <c r="G194" s="1447"/>
      <c r="H194" s="1442" t="s">
        <v>1147</v>
      </c>
      <c r="I194" s="1454"/>
      <c r="J194" s="1465"/>
      <c r="K194" s="1456"/>
      <c r="L194" s="1169"/>
      <c r="M194" s="1170"/>
      <c r="N194" s="675"/>
      <c r="O194" s="676"/>
      <c r="P194" s="110" t="s">
        <v>1079</v>
      </c>
      <c r="Q194" s="676"/>
      <c r="R194" s="676"/>
      <c r="S194" s="676"/>
      <c r="T194" s="676"/>
      <c r="U194" s="676"/>
      <c r="V194" s="676"/>
      <c r="W194" s="676"/>
      <c r="X194" s="676"/>
      <c r="Y194" s="676"/>
      <c r="Z194" s="676"/>
      <c r="AA194" s="676"/>
      <c r="AB194" s="676"/>
      <c r="AC194" s="676"/>
      <c r="AD194" s="676"/>
      <c r="AE194" s="683"/>
      <c r="AF194" s="1457"/>
      <c r="AG194" s="1458"/>
      <c r="AH194" s="1458"/>
      <c r="AI194" s="1457"/>
      <c r="AJ194" s="1458"/>
      <c r="AK194" s="1458"/>
      <c r="AL194" s="71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11.25" customHeight="1">
      <c r="A195" s="303" t="s">
        <v>1032</v>
      </c>
      <c r="B195" s="303" t="s">
        <v>22</v>
      </c>
      <c r="E195" s="10"/>
      <c r="F195" s="1446"/>
      <c r="G195" s="1182" t="s">
        <v>122</v>
      </c>
      <c r="H195" s="1442" t="s">
        <v>1152</v>
      </c>
      <c r="I195" s="1454" t="s">
        <v>1148</v>
      </c>
      <c r="J195" s="1465" t="s">
        <v>22</v>
      </c>
      <c r="K195" s="1456" t="s">
        <v>1153</v>
      </c>
      <c r="L195" s="1169" t="s">
        <v>19</v>
      </c>
      <c r="M195" s="1170"/>
      <c r="N195" s="1053"/>
      <c r="O195" s="677" t="s">
        <v>382</v>
      </c>
      <c r="P195" s="678"/>
      <c r="Q195" s="678"/>
      <c r="R195" s="678"/>
      <c r="S195" s="678"/>
      <c r="T195" s="678"/>
      <c r="U195" s="678"/>
      <c r="V195" s="678"/>
      <c r="W195" s="678"/>
      <c r="X195" s="678"/>
      <c r="Y195" s="678"/>
      <c r="Z195" s="678"/>
      <c r="AA195" s="678"/>
      <c r="AB195" s="678"/>
      <c r="AC195" s="678"/>
      <c r="AD195" s="678"/>
      <c r="AE195" s="678"/>
      <c r="AF195" s="1457">
        <v>2023</v>
      </c>
      <c r="AG195" s="1458" t="s">
        <v>1154</v>
      </c>
      <c r="AH195" s="1458" t="s">
        <v>1069</v>
      </c>
      <c r="AI195" s="1457">
        <v>2023</v>
      </c>
      <c r="AJ195" s="1458" t="s">
        <v>1154</v>
      </c>
      <c r="AK195" s="1458" t="s">
        <v>1069</v>
      </c>
      <c r="AL195" s="71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1.25" customHeight="1">
      <c r="A196" s="303" t="s">
        <v>1032</v>
      </c>
      <c r="E196" s="10"/>
      <c r="F196" s="1446"/>
      <c r="G196" s="1447"/>
      <c r="H196" s="1442" t="s">
        <v>1097</v>
      </c>
      <c r="I196" s="1454"/>
      <c r="J196" s="1465"/>
      <c r="K196" s="1456"/>
      <c r="L196" s="1169"/>
      <c r="M196" s="1170"/>
      <c r="N196" s="1459"/>
      <c r="O196" s="1460">
        <v>1</v>
      </c>
      <c r="P196" s="1461" t="s">
        <v>62</v>
      </c>
      <c r="Q196" s="1455" t="s">
        <v>1085</v>
      </c>
      <c r="R196" s="1464" t="s">
        <v>1072</v>
      </c>
      <c r="S196" s="1464" t="s">
        <v>100</v>
      </c>
      <c r="T196" s="1464" t="s">
        <v>100</v>
      </c>
      <c r="U196" s="1464" t="s">
        <v>101</v>
      </c>
      <c r="V196" s="1464" t="s">
        <v>1073</v>
      </c>
      <c r="W196" s="1464" t="s">
        <v>1074</v>
      </c>
      <c r="X196" s="1464" t="s">
        <v>1086</v>
      </c>
      <c r="Y196" s="1464" t="s">
        <v>1087</v>
      </c>
      <c r="Z196" s="675"/>
      <c r="AA196" s="676"/>
      <c r="AB196" s="676"/>
      <c r="AC196" s="680"/>
      <c r="AD196" s="680"/>
      <c r="AE196" s="681"/>
      <c r="AF196" s="1457"/>
      <c r="AG196" s="1458"/>
      <c r="AH196" s="1458"/>
      <c r="AI196" s="1457"/>
      <c r="AJ196" s="1458"/>
      <c r="AK196" s="1458"/>
      <c r="AL196" s="71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32.25" customHeight="1">
      <c r="A197" s="303" t="s">
        <v>1032</v>
      </c>
      <c r="E197" s="10"/>
      <c r="F197" s="1446"/>
      <c r="G197" s="1447"/>
      <c r="H197" s="1442" t="s">
        <v>1097</v>
      </c>
      <c r="I197" s="1454"/>
      <c r="J197" s="1465"/>
      <c r="K197" s="1456"/>
      <c r="L197" s="1169"/>
      <c r="M197" s="1170"/>
      <c r="N197" s="1459"/>
      <c r="O197" s="1460"/>
      <c r="P197" s="1462"/>
      <c r="Q197" s="1455"/>
      <c r="R197" s="1415"/>
      <c r="S197" s="1464"/>
      <c r="T197" s="1415"/>
      <c r="U197" s="1415"/>
      <c r="V197" s="1415"/>
      <c r="W197" s="1415"/>
      <c r="X197" s="1415"/>
      <c r="Y197" s="1415"/>
      <c r="Z197" s="987"/>
      <c r="AA197" s="978">
        <v>1</v>
      </c>
      <c r="AB197" s="679" t="s">
        <v>1088</v>
      </c>
      <c r="AC197" s="380">
        <f>2989.84/2</f>
        <v>1494.92</v>
      </c>
      <c r="AD197" s="679" t="str">
        <f>AB197</f>
        <v xml:space="preserve">     Амортизационные отчисления за исключением переоценки основных средств и нематериальных активов</v>
      </c>
      <c r="AE197" s="380">
        <f>2989.84/2</f>
        <v>1494.92</v>
      </c>
      <c r="AF197" s="1457"/>
      <c r="AG197" s="1458"/>
      <c r="AH197" s="1458"/>
      <c r="AI197" s="1457"/>
      <c r="AJ197" s="1458"/>
      <c r="AK197" s="1458"/>
      <c r="AL197" s="71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3.5" customHeight="1">
      <c r="A198" s="303" t="s">
        <v>1032</v>
      </c>
      <c r="E198" s="10"/>
      <c r="F198" s="1446"/>
      <c r="G198" s="1447"/>
      <c r="H198" s="1442" t="s">
        <v>1097</v>
      </c>
      <c r="I198" s="1454"/>
      <c r="J198" s="1465"/>
      <c r="K198" s="1456"/>
      <c r="L198" s="1169"/>
      <c r="M198" s="1170"/>
      <c r="N198" s="1459"/>
      <c r="O198" s="1460"/>
      <c r="P198" s="1463"/>
      <c r="Q198" s="1455"/>
      <c r="R198" s="1415"/>
      <c r="S198" s="1464"/>
      <c r="T198" s="1415"/>
      <c r="U198" s="1415"/>
      <c r="V198" s="1415"/>
      <c r="W198" s="1415"/>
      <c r="X198" s="1415"/>
      <c r="Y198" s="1415"/>
      <c r="Z198" s="675"/>
      <c r="AA198" s="676"/>
      <c r="AB198" s="110" t="s">
        <v>1078</v>
      </c>
      <c r="AC198" s="680"/>
      <c r="AD198" s="680"/>
      <c r="AE198" s="682"/>
      <c r="AF198" s="1457"/>
      <c r="AG198" s="1458"/>
      <c r="AH198" s="1458"/>
      <c r="AI198" s="1457"/>
      <c r="AJ198" s="1458"/>
      <c r="AK198" s="1458"/>
      <c r="AL198" s="71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1.25" customHeight="1">
      <c r="A199" s="303" t="s">
        <v>1032</v>
      </c>
      <c r="E199" s="10"/>
      <c r="F199" s="1446"/>
      <c r="G199" s="1447"/>
      <c r="H199" s="1447"/>
      <c r="I199" s="1467"/>
      <c r="J199" s="1470"/>
      <c r="K199" s="1473"/>
      <c r="L199" s="1467"/>
      <c r="M199" s="1447"/>
      <c r="N199" s="1182" t="s">
        <v>122</v>
      </c>
      <c r="O199" s="1483" t="s">
        <v>110</v>
      </c>
      <c r="P199" s="1461" t="s">
        <v>62</v>
      </c>
      <c r="Q199" s="1455" t="s">
        <v>1151</v>
      </c>
      <c r="R199" s="1464" t="s">
        <v>1072</v>
      </c>
      <c r="S199" s="1464" t="s">
        <v>100</v>
      </c>
      <c r="T199" s="1464" t="s">
        <v>100</v>
      </c>
      <c r="U199" s="1464" t="s">
        <v>101</v>
      </c>
      <c r="V199" s="1464" t="s">
        <v>1073</v>
      </c>
      <c r="W199" s="1464" t="s">
        <v>1074</v>
      </c>
      <c r="X199" s="1464" t="s">
        <v>382</v>
      </c>
      <c r="Y199" s="1464" t="s">
        <v>382</v>
      </c>
      <c r="Z199" s="675"/>
      <c r="AA199" s="676"/>
      <c r="AB199" s="676"/>
      <c r="AC199" s="680"/>
      <c r="AD199" s="680"/>
      <c r="AE199" s="680"/>
      <c r="AF199" s="1474"/>
      <c r="AG199" s="1477"/>
      <c r="AH199" s="1477"/>
      <c r="AI199" s="1474"/>
      <c r="AJ199" s="1477"/>
      <c r="AK199" s="1478"/>
      <c r="AL199" s="71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32.25" customHeight="1">
      <c r="A200" s="303" t="s">
        <v>1032</v>
      </c>
      <c r="E200" s="10"/>
      <c r="F200" s="1446"/>
      <c r="G200" s="1447"/>
      <c r="H200" s="1447"/>
      <c r="I200" s="1468"/>
      <c r="J200" s="1471"/>
      <c r="K200" s="1473"/>
      <c r="L200" s="1468"/>
      <c r="M200" s="1447"/>
      <c r="N200" s="1459"/>
      <c r="O200" s="1483">
        <v>1</v>
      </c>
      <c r="P200" s="1462"/>
      <c r="Q200" s="1455"/>
      <c r="R200" s="1415"/>
      <c r="S200" s="1464"/>
      <c r="T200" s="1415"/>
      <c r="U200" s="1415"/>
      <c r="V200" s="1415"/>
      <c r="W200" s="1415"/>
      <c r="X200" s="1415"/>
      <c r="Y200" s="1415"/>
      <c r="Z200" s="987"/>
      <c r="AA200" s="978">
        <v>1</v>
      </c>
      <c r="AB200" s="679" t="s">
        <v>1088</v>
      </c>
      <c r="AC200" s="380">
        <f>2989.84/2</f>
        <v>1494.92</v>
      </c>
      <c r="AD200" s="679" t="str">
        <f>AB200</f>
        <v xml:space="preserve">     Амортизационные отчисления за исключением переоценки основных средств и нематериальных активов</v>
      </c>
      <c r="AE200" s="421">
        <v>1494.92</v>
      </c>
      <c r="AF200" s="1475"/>
      <c r="AG200" s="1477"/>
      <c r="AH200" s="1477"/>
      <c r="AI200" s="1475"/>
      <c r="AJ200" s="1477"/>
      <c r="AK200" s="1478"/>
      <c r="AL200" s="71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1.25" customHeight="1">
      <c r="A201" s="303" t="s">
        <v>1032</v>
      </c>
      <c r="E201" s="10"/>
      <c r="F201" s="1446"/>
      <c r="G201" s="1447"/>
      <c r="H201" s="1447"/>
      <c r="I201" s="1469"/>
      <c r="J201" s="1472"/>
      <c r="K201" s="1473"/>
      <c r="L201" s="1469"/>
      <c r="M201" s="1447"/>
      <c r="N201" s="1459"/>
      <c r="O201" s="1483">
        <v>1</v>
      </c>
      <c r="P201" s="1463"/>
      <c r="Q201" s="1455"/>
      <c r="R201" s="1415"/>
      <c r="S201" s="1464"/>
      <c r="T201" s="1415"/>
      <c r="U201" s="1415"/>
      <c r="V201" s="1415"/>
      <c r="W201" s="1415"/>
      <c r="X201" s="1415"/>
      <c r="Y201" s="1415"/>
      <c r="Z201" s="675"/>
      <c r="AA201" s="676"/>
      <c r="AB201" s="110" t="s">
        <v>1078</v>
      </c>
      <c r="AC201" s="680"/>
      <c r="AD201" s="680"/>
      <c r="AE201" s="680"/>
      <c r="AF201" s="1476"/>
      <c r="AG201" s="1477"/>
      <c r="AH201" s="1477"/>
      <c r="AI201" s="1476"/>
      <c r="AJ201" s="1477"/>
      <c r="AK201" s="1478"/>
      <c r="AL201" s="71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1.25" customHeight="1">
      <c r="A202" s="303" t="s">
        <v>1032</v>
      </c>
      <c r="E202" s="10"/>
      <c r="F202" s="1446"/>
      <c r="G202" s="1447"/>
      <c r="H202" s="1442" t="s">
        <v>1097</v>
      </c>
      <c r="I202" s="1454"/>
      <c r="J202" s="1465"/>
      <c r="K202" s="1456"/>
      <c r="L202" s="1169"/>
      <c r="M202" s="1170"/>
      <c r="N202" s="675"/>
      <c r="O202" s="676"/>
      <c r="P202" s="110" t="s">
        <v>1079</v>
      </c>
      <c r="Q202" s="676"/>
      <c r="R202" s="676"/>
      <c r="S202" s="676"/>
      <c r="T202" s="676"/>
      <c r="U202" s="676"/>
      <c r="V202" s="676"/>
      <c r="W202" s="676"/>
      <c r="X202" s="676"/>
      <c r="Y202" s="676"/>
      <c r="Z202" s="676"/>
      <c r="AA202" s="676"/>
      <c r="AB202" s="676"/>
      <c r="AC202" s="676"/>
      <c r="AD202" s="676"/>
      <c r="AE202" s="683"/>
      <c r="AF202" s="1457"/>
      <c r="AG202" s="1458"/>
      <c r="AH202" s="1458"/>
      <c r="AI202" s="1457"/>
      <c r="AJ202" s="1458"/>
      <c r="AK202" s="1458"/>
      <c r="AL202" s="71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1.25" customHeight="1">
      <c r="A203" s="303" t="s">
        <v>1032</v>
      </c>
      <c r="B203" s="303" t="s">
        <v>22</v>
      </c>
      <c r="E203" s="10"/>
      <c r="F203" s="1446"/>
      <c r="G203" s="1182" t="s">
        <v>122</v>
      </c>
      <c r="H203" s="1442" t="s">
        <v>1155</v>
      </c>
      <c r="I203" s="1454" t="s">
        <v>1148</v>
      </c>
      <c r="J203" s="1465" t="s">
        <v>22</v>
      </c>
      <c r="K203" s="1456" t="s">
        <v>1156</v>
      </c>
      <c r="L203" s="1169" t="s">
        <v>19</v>
      </c>
      <c r="M203" s="1170"/>
      <c r="N203" s="1053"/>
      <c r="O203" s="677" t="s">
        <v>382</v>
      </c>
      <c r="P203" s="678"/>
      <c r="Q203" s="678"/>
      <c r="R203" s="678"/>
      <c r="S203" s="678"/>
      <c r="T203" s="678"/>
      <c r="U203" s="678"/>
      <c r="V203" s="678"/>
      <c r="W203" s="678"/>
      <c r="X203" s="678"/>
      <c r="Y203" s="678"/>
      <c r="Z203" s="678"/>
      <c r="AA203" s="678"/>
      <c r="AB203" s="678"/>
      <c r="AC203" s="678"/>
      <c r="AD203" s="678"/>
      <c r="AE203" s="678"/>
      <c r="AF203" s="1457">
        <v>2023</v>
      </c>
      <c r="AG203" s="1458" t="s">
        <v>1081</v>
      </c>
      <c r="AH203" s="1458" t="s">
        <v>1069</v>
      </c>
      <c r="AI203" s="1466"/>
      <c r="AJ203" s="1458" t="s">
        <v>1084</v>
      </c>
      <c r="AK203" s="1458" t="s">
        <v>1084</v>
      </c>
      <c r="AL203" s="71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1.25" customHeight="1">
      <c r="A204" s="303" t="s">
        <v>1032</v>
      </c>
      <c r="E204" s="10"/>
      <c r="F204" s="1446"/>
      <c r="G204" s="1447"/>
      <c r="H204" s="1442" t="s">
        <v>1152</v>
      </c>
      <c r="I204" s="1454"/>
      <c r="J204" s="1465"/>
      <c r="K204" s="1456"/>
      <c r="L204" s="1169"/>
      <c r="M204" s="1170"/>
      <c r="N204" s="1459"/>
      <c r="O204" s="1460">
        <v>1</v>
      </c>
      <c r="P204" s="1461" t="s">
        <v>62</v>
      </c>
      <c r="Q204" s="1455" t="s">
        <v>1085</v>
      </c>
      <c r="R204" s="1464" t="s">
        <v>1072</v>
      </c>
      <c r="S204" s="1464" t="s">
        <v>100</v>
      </c>
      <c r="T204" s="1464" t="s">
        <v>100</v>
      </c>
      <c r="U204" s="1464" t="s">
        <v>101</v>
      </c>
      <c r="V204" s="1464" t="s">
        <v>1073</v>
      </c>
      <c r="W204" s="1464" t="s">
        <v>1074</v>
      </c>
      <c r="X204" s="1464" t="s">
        <v>1086</v>
      </c>
      <c r="Y204" s="1464" t="s">
        <v>1087</v>
      </c>
      <c r="Z204" s="675"/>
      <c r="AA204" s="676"/>
      <c r="AB204" s="676"/>
      <c r="AC204" s="680"/>
      <c r="AD204" s="680"/>
      <c r="AE204" s="681"/>
      <c r="AF204" s="1457"/>
      <c r="AG204" s="1458"/>
      <c r="AH204" s="1458"/>
      <c r="AI204" s="1466"/>
      <c r="AJ204" s="1458"/>
      <c r="AK204" s="1458"/>
      <c r="AL204" s="71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54.75" customHeight="1">
      <c r="A205" s="303" t="s">
        <v>1032</v>
      </c>
      <c r="E205" s="10"/>
      <c r="F205" s="1446"/>
      <c r="G205" s="1447"/>
      <c r="H205" s="1442" t="s">
        <v>1152</v>
      </c>
      <c r="I205" s="1454"/>
      <c r="J205" s="1465"/>
      <c r="K205" s="1456"/>
      <c r="L205" s="1169"/>
      <c r="M205" s="1170"/>
      <c r="N205" s="1459"/>
      <c r="O205" s="1460"/>
      <c r="P205" s="1462"/>
      <c r="Q205" s="1455"/>
      <c r="R205" s="1415"/>
      <c r="S205" s="1464"/>
      <c r="T205" s="1415"/>
      <c r="U205" s="1415"/>
      <c r="V205" s="1415"/>
      <c r="W205" s="1415"/>
      <c r="X205" s="1415"/>
      <c r="Y205" s="1415"/>
      <c r="Z205" s="987"/>
      <c r="AA205" s="978">
        <v>1</v>
      </c>
      <c r="AB205" s="679" t="s">
        <v>1088</v>
      </c>
      <c r="AC205" s="380">
        <v>1263.94</v>
      </c>
      <c r="AD205" s="679" t="str">
        <f>AB205</f>
        <v xml:space="preserve">     Амортизационные отчисления за исключением переоценки основных средств и нематериальных активов</v>
      </c>
      <c r="AE205" s="380">
        <v>0</v>
      </c>
      <c r="AF205" s="1457"/>
      <c r="AG205" s="1458"/>
      <c r="AH205" s="1458"/>
      <c r="AI205" s="1466"/>
      <c r="AJ205" s="1458"/>
      <c r="AK205" s="1458"/>
      <c r="AL205" s="71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1.25" customHeight="1">
      <c r="A206" s="303" t="s">
        <v>1032</v>
      </c>
      <c r="E206" s="10"/>
      <c r="F206" s="1446"/>
      <c r="G206" s="1447"/>
      <c r="H206" s="1442" t="s">
        <v>1152</v>
      </c>
      <c r="I206" s="1454"/>
      <c r="J206" s="1465"/>
      <c r="K206" s="1456"/>
      <c r="L206" s="1169"/>
      <c r="M206" s="1170"/>
      <c r="N206" s="1459"/>
      <c r="O206" s="1460"/>
      <c r="P206" s="1463"/>
      <c r="Q206" s="1455"/>
      <c r="R206" s="1415"/>
      <c r="S206" s="1464"/>
      <c r="T206" s="1415"/>
      <c r="U206" s="1415"/>
      <c r="V206" s="1415"/>
      <c r="W206" s="1415"/>
      <c r="X206" s="1415"/>
      <c r="Y206" s="1415"/>
      <c r="Z206" s="675"/>
      <c r="AA206" s="676"/>
      <c r="AB206" s="110" t="s">
        <v>1078</v>
      </c>
      <c r="AC206" s="680"/>
      <c r="AD206" s="680"/>
      <c r="AE206" s="682"/>
      <c r="AF206" s="1457"/>
      <c r="AG206" s="1458"/>
      <c r="AH206" s="1458"/>
      <c r="AI206" s="1466"/>
      <c r="AJ206" s="1458"/>
      <c r="AK206" s="1458"/>
      <c r="AL206" s="71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1.25" customHeight="1">
      <c r="A207" s="303" t="s">
        <v>1032</v>
      </c>
      <c r="E207" s="10"/>
      <c r="F207" s="1446"/>
      <c r="G207" s="1447"/>
      <c r="H207" s="1442" t="s">
        <v>1152</v>
      </c>
      <c r="I207" s="1454"/>
      <c r="J207" s="1465"/>
      <c r="K207" s="1456"/>
      <c r="L207" s="1169"/>
      <c r="M207" s="1170"/>
      <c r="N207" s="675"/>
      <c r="O207" s="676"/>
      <c r="P207" s="110" t="s">
        <v>1079</v>
      </c>
      <c r="Q207" s="676"/>
      <c r="R207" s="676"/>
      <c r="S207" s="676"/>
      <c r="T207" s="676"/>
      <c r="U207" s="676"/>
      <c r="V207" s="676"/>
      <c r="W207" s="676"/>
      <c r="X207" s="676"/>
      <c r="Y207" s="676"/>
      <c r="Z207" s="676"/>
      <c r="AA207" s="676"/>
      <c r="AB207" s="676"/>
      <c r="AC207" s="676"/>
      <c r="AD207" s="676"/>
      <c r="AE207" s="683"/>
      <c r="AF207" s="1457"/>
      <c r="AG207" s="1458"/>
      <c r="AH207" s="1458"/>
      <c r="AI207" s="1466"/>
      <c r="AJ207" s="1458"/>
      <c r="AK207" s="1458"/>
      <c r="AL207" s="71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1.25" customHeight="1">
      <c r="A208" s="303" t="s">
        <v>1032</v>
      </c>
      <c r="B208" s="303" t="s">
        <v>22</v>
      </c>
      <c r="E208" s="10"/>
      <c r="F208" s="1446"/>
      <c r="G208" s="1182" t="s">
        <v>122</v>
      </c>
      <c r="H208" s="1442" t="s">
        <v>1157</v>
      </c>
      <c r="I208" s="1454" t="s">
        <v>1148</v>
      </c>
      <c r="J208" s="1465" t="s">
        <v>22</v>
      </c>
      <c r="K208" s="1456" t="s">
        <v>1158</v>
      </c>
      <c r="L208" s="1169" t="s">
        <v>19</v>
      </c>
      <c r="M208" s="1170"/>
      <c r="N208" s="1053"/>
      <c r="O208" s="677" t="s">
        <v>382</v>
      </c>
      <c r="P208" s="678"/>
      <c r="Q208" s="678"/>
      <c r="R208" s="678"/>
      <c r="S208" s="678"/>
      <c r="T208" s="678"/>
      <c r="U208" s="678"/>
      <c r="V208" s="678"/>
      <c r="W208" s="678"/>
      <c r="X208" s="678"/>
      <c r="Y208" s="678"/>
      <c r="Z208" s="678"/>
      <c r="AA208" s="678"/>
      <c r="AB208" s="678"/>
      <c r="AC208" s="678"/>
      <c r="AD208" s="678"/>
      <c r="AE208" s="678"/>
      <c r="AF208" s="1457">
        <v>2023</v>
      </c>
      <c r="AG208" s="1458" t="s">
        <v>1081</v>
      </c>
      <c r="AH208" s="1458" t="s">
        <v>1069</v>
      </c>
      <c r="AI208" s="1466"/>
      <c r="AJ208" s="1458" t="s">
        <v>1084</v>
      </c>
      <c r="AK208" s="1458" t="s">
        <v>1084</v>
      </c>
      <c r="AL208" s="71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1.25" customHeight="1">
      <c r="A209" s="303" t="s">
        <v>1032</v>
      </c>
      <c r="E209" s="10"/>
      <c r="F209" s="1446"/>
      <c r="G209" s="1447"/>
      <c r="H209" s="1442" t="s">
        <v>1155</v>
      </c>
      <c r="I209" s="1454"/>
      <c r="J209" s="1465"/>
      <c r="K209" s="1456"/>
      <c r="L209" s="1169"/>
      <c r="M209" s="1170"/>
      <c r="N209" s="1459"/>
      <c r="O209" s="1460">
        <v>1</v>
      </c>
      <c r="P209" s="1461" t="s">
        <v>62</v>
      </c>
      <c r="Q209" s="1455" t="s">
        <v>1159</v>
      </c>
      <c r="R209" s="1464" t="s">
        <v>1072</v>
      </c>
      <c r="S209" s="1464" t="s">
        <v>100</v>
      </c>
      <c r="T209" s="1464" t="s">
        <v>100</v>
      </c>
      <c r="U209" s="1464" t="s">
        <v>101</v>
      </c>
      <c r="V209" s="1464" t="s">
        <v>1073</v>
      </c>
      <c r="W209" s="1464" t="s">
        <v>1074</v>
      </c>
      <c r="X209" s="1464" t="s">
        <v>382</v>
      </c>
      <c r="Y209" s="1464" t="s">
        <v>382</v>
      </c>
      <c r="Z209" s="675"/>
      <c r="AA209" s="676"/>
      <c r="AB209" s="676"/>
      <c r="AC209" s="680"/>
      <c r="AD209" s="680"/>
      <c r="AE209" s="681"/>
      <c r="AF209" s="1457"/>
      <c r="AG209" s="1458"/>
      <c r="AH209" s="1458"/>
      <c r="AI209" s="1466"/>
      <c r="AJ209" s="1458"/>
      <c r="AK209" s="1458"/>
      <c r="AL209" s="71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32.25" customHeight="1">
      <c r="A210" s="303" t="s">
        <v>1032</v>
      </c>
      <c r="E210" s="10"/>
      <c r="F210" s="1446"/>
      <c r="G210" s="1447"/>
      <c r="H210" s="1442" t="s">
        <v>1155</v>
      </c>
      <c r="I210" s="1454"/>
      <c r="J210" s="1465"/>
      <c r="K210" s="1456"/>
      <c r="L210" s="1169"/>
      <c r="M210" s="1170"/>
      <c r="N210" s="1459"/>
      <c r="O210" s="1460"/>
      <c r="P210" s="1462"/>
      <c r="Q210" s="1455"/>
      <c r="R210" s="1415"/>
      <c r="S210" s="1464"/>
      <c r="T210" s="1415"/>
      <c r="U210" s="1415"/>
      <c r="V210" s="1415"/>
      <c r="W210" s="1415"/>
      <c r="X210" s="1415"/>
      <c r="Y210" s="1415"/>
      <c r="Z210" s="987"/>
      <c r="AA210" s="978">
        <v>1</v>
      </c>
      <c r="AB210" s="679" t="s">
        <v>1088</v>
      </c>
      <c r="AC210" s="380">
        <v>230.9</v>
      </c>
      <c r="AD210" s="679" t="str">
        <f>AB210</f>
        <v xml:space="preserve">     Амортизационные отчисления за исключением переоценки основных средств и нематериальных активов</v>
      </c>
      <c r="AE210" s="380">
        <v>0</v>
      </c>
      <c r="AF210" s="1457"/>
      <c r="AG210" s="1458"/>
      <c r="AH210" s="1458"/>
      <c r="AI210" s="1466"/>
      <c r="AJ210" s="1458"/>
      <c r="AK210" s="1458"/>
      <c r="AL210" s="71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1.25" customHeight="1">
      <c r="A211" s="303" t="s">
        <v>1032</v>
      </c>
      <c r="E211" s="10"/>
      <c r="F211" s="1446"/>
      <c r="G211" s="1447"/>
      <c r="H211" s="1442" t="s">
        <v>1155</v>
      </c>
      <c r="I211" s="1454"/>
      <c r="J211" s="1465"/>
      <c r="K211" s="1456"/>
      <c r="L211" s="1169"/>
      <c r="M211" s="1170"/>
      <c r="N211" s="1459"/>
      <c r="O211" s="1460"/>
      <c r="P211" s="1463"/>
      <c r="Q211" s="1455"/>
      <c r="R211" s="1415"/>
      <c r="S211" s="1464"/>
      <c r="T211" s="1415"/>
      <c r="U211" s="1415"/>
      <c r="V211" s="1415"/>
      <c r="W211" s="1415"/>
      <c r="X211" s="1415"/>
      <c r="Y211" s="1415"/>
      <c r="Z211" s="675"/>
      <c r="AA211" s="676"/>
      <c r="AB211" s="110" t="s">
        <v>1078</v>
      </c>
      <c r="AC211" s="680"/>
      <c r="AD211" s="680"/>
      <c r="AE211" s="682"/>
      <c r="AF211" s="1457"/>
      <c r="AG211" s="1458"/>
      <c r="AH211" s="1458"/>
      <c r="AI211" s="1466"/>
      <c r="AJ211" s="1458"/>
      <c r="AK211" s="1458"/>
      <c r="AL211" s="71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11.25" customHeight="1">
      <c r="A212" s="303" t="s">
        <v>1032</v>
      </c>
      <c r="E212" s="10"/>
      <c r="F212" s="1446"/>
      <c r="G212" s="1447"/>
      <c r="H212" s="1447"/>
      <c r="I212" s="1467"/>
      <c r="J212" s="1470"/>
      <c r="K212" s="1473"/>
      <c r="L212" s="1467"/>
      <c r="M212" s="1447"/>
      <c r="N212" s="1182" t="s">
        <v>122</v>
      </c>
      <c r="O212" s="1483" t="s">
        <v>110</v>
      </c>
      <c r="P212" s="1461" t="s">
        <v>62</v>
      </c>
      <c r="Q212" s="1455" t="s">
        <v>1085</v>
      </c>
      <c r="R212" s="1464" t="s">
        <v>1072</v>
      </c>
      <c r="S212" s="1464" t="s">
        <v>100</v>
      </c>
      <c r="T212" s="1464" t="s">
        <v>100</v>
      </c>
      <c r="U212" s="1464" t="s">
        <v>101</v>
      </c>
      <c r="V212" s="1464" t="s">
        <v>1073</v>
      </c>
      <c r="W212" s="1464" t="s">
        <v>1074</v>
      </c>
      <c r="X212" s="1464" t="s">
        <v>1086</v>
      </c>
      <c r="Y212" s="1464" t="s">
        <v>1087</v>
      </c>
      <c r="Z212" s="675"/>
      <c r="AA212" s="676"/>
      <c r="AB212" s="676"/>
      <c r="AC212" s="680"/>
      <c r="AD212" s="680"/>
      <c r="AE212" s="680"/>
      <c r="AF212" s="1474"/>
      <c r="AG212" s="1477"/>
      <c r="AH212" s="1477"/>
      <c r="AI212" s="1480"/>
      <c r="AJ212" s="1477"/>
      <c r="AK212" s="1478"/>
      <c r="AL212" s="71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32.25" customHeight="1">
      <c r="A213" s="303" t="s">
        <v>1032</v>
      </c>
      <c r="E213" s="10"/>
      <c r="F213" s="1446"/>
      <c r="G213" s="1447"/>
      <c r="H213" s="1447"/>
      <c r="I213" s="1468"/>
      <c r="J213" s="1471"/>
      <c r="K213" s="1473"/>
      <c r="L213" s="1468"/>
      <c r="M213" s="1447"/>
      <c r="N213" s="1459"/>
      <c r="O213" s="1483">
        <v>1</v>
      </c>
      <c r="P213" s="1462"/>
      <c r="Q213" s="1455"/>
      <c r="R213" s="1415"/>
      <c r="S213" s="1464"/>
      <c r="T213" s="1415"/>
      <c r="U213" s="1415"/>
      <c r="V213" s="1415"/>
      <c r="W213" s="1415"/>
      <c r="X213" s="1415"/>
      <c r="Y213" s="1415"/>
      <c r="Z213" s="987"/>
      <c r="AA213" s="978">
        <v>1</v>
      </c>
      <c r="AB213" s="679" t="s">
        <v>1088</v>
      </c>
      <c r="AC213" s="380">
        <v>230.89</v>
      </c>
      <c r="AD213" s="679" t="str">
        <f>AB213</f>
        <v xml:space="preserve">     Амортизационные отчисления за исключением переоценки основных средств и нематериальных активов</v>
      </c>
      <c r="AE213" s="421">
        <v>0</v>
      </c>
      <c r="AF213" s="1475"/>
      <c r="AG213" s="1477"/>
      <c r="AH213" s="1477"/>
      <c r="AI213" s="1481"/>
      <c r="AJ213" s="1477"/>
      <c r="AK213" s="1478"/>
      <c r="AL213" s="71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1.25" customHeight="1">
      <c r="A214" s="303" t="s">
        <v>1032</v>
      </c>
      <c r="E214" s="10"/>
      <c r="F214" s="1446"/>
      <c r="G214" s="1447"/>
      <c r="H214" s="1447"/>
      <c r="I214" s="1469"/>
      <c r="J214" s="1472"/>
      <c r="K214" s="1473"/>
      <c r="L214" s="1469"/>
      <c r="M214" s="1447"/>
      <c r="N214" s="1459"/>
      <c r="O214" s="1483">
        <v>1</v>
      </c>
      <c r="P214" s="1463"/>
      <c r="Q214" s="1455"/>
      <c r="R214" s="1415"/>
      <c r="S214" s="1464"/>
      <c r="T214" s="1415"/>
      <c r="U214" s="1415"/>
      <c r="V214" s="1415"/>
      <c r="W214" s="1415"/>
      <c r="X214" s="1415"/>
      <c r="Y214" s="1415"/>
      <c r="Z214" s="675"/>
      <c r="AA214" s="676"/>
      <c r="AB214" s="110" t="s">
        <v>1078</v>
      </c>
      <c r="AC214" s="680"/>
      <c r="AD214" s="680"/>
      <c r="AE214" s="680"/>
      <c r="AF214" s="1476"/>
      <c r="AG214" s="1477"/>
      <c r="AH214" s="1477"/>
      <c r="AI214" s="1482"/>
      <c r="AJ214" s="1477"/>
      <c r="AK214" s="1478"/>
      <c r="AL214" s="71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1.25" customHeight="1">
      <c r="A215" s="303" t="s">
        <v>1032</v>
      </c>
      <c r="E215" s="10"/>
      <c r="F215" s="1446"/>
      <c r="G215" s="1447"/>
      <c r="H215" s="1442" t="s">
        <v>1155</v>
      </c>
      <c r="I215" s="1454"/>
      <c r="J215" s="1465"/>
      <c r="K215" s="1456"/>
      <c r="L215" s="1169"/>
      <c r="M215" s="1170"/>
      <c r="N215" s="675"/>
      <c r="O215" s="676"/>
      <c r="P215" s="110" t="s">
        <v>1079</v>
      </c>
      <c r="Q215" s="676"/>
      <c r="R215" s="676"/>
      <c r="S215" s="676"/>
      <c r="T215" s="676"/>
      <c r="U215" s="676"/>
      <c r="V215" s="676"/>
      <c r="W215" s="676"/>
      <c r="X215" s="676"/>
      <c r="Y215" s="676"/>
      <c r="Z215" s="676"/>
      <c r="AA215" s="676"/>
      <c r="AB215" s="676"/>
      <c r="AC215" s="676"/>
      <c r="AD215" s="676"/>
      <c r="AE215" s="683"/>
      <c r="AF215" s="1457"/>
      <c r="AG215" s="1458"/>
      <c r="AH215" s="1458"/>
      <c r="AI215" s="1466"/>
      <c r="AJ215" s="1458"/>
      <c r="AK215" s="1458"/>
      <c r="AL215" s="71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1.25" customHeight="1">
      <c r="A216" s="303" t="s">
        <v>1032</v>
      </c>
      <c r="B216" s="303" t="s">
        <v>22</v>
      </c>
      <c r="E216" s="10"/>
      <c r="F216" s="1446"/>
      <c r="G216" s="1182" t="s">
        <v>122</v>
      </c>
      <c r="H216" s="1442" t="s">
        <v>1160</v>
      </c>
      <c r="I216" s="1454" t="s">
        <v>1148</v>
      </c>
      <c r="J216" s="1465" t="s">
        <v>22</v>
      </c>
      <c r="K216" s="1456" t="s">
        <v>1161</v>
      </c>
      <c r="L216" s="1169" t="s">
        <v>19</v>
      </c>
      <c r="M216" s="1170"/>
      <c r="N216" s="1053"/>
      <c r="O216" s="677" t="s">
        <v>382</v>
      </c>
      <c r="P216" s="678"/>
      <c r="Q216" s="678"/>
      <c r="R216" s="678"/>
      <c r="S216" s="678"/>
      <c r="T216" s="678"/>
      <c r="U216" s="678"/>
      <c r="V216" s="678"/>
      <c r="W216" s="678"/>
      <c r="X216" s="678"/>
      <c r="Y216" s="678"/>
      <c r="Z216" s="678"/>
      <c r="AA216" s="678"/>
      <c r="AB216" s="678"/>
      <c r="AC216" s="678"/>
      <c r="AD216" s="678"/>
      <c r="AE216" s="678"/>
      <c r="AF216" s="1457">
        <v>2023</v>
      </c>
      <c r="AG216" s="1458" t="s">
        <v>1070</v>
      </c>
      <c r="AH216" s="1458" t="s">
        <v>1069</v>
      </c>
      <c r="AI216" s="1457">
        <v>2023</v>
      </c>
      <c r="AJ216" s="1458" t="s">
        <v>1070</v>
      </c>
      <c r="AK216" s="1458" t="s">
        <v>1069</v>
      </c>
      <c r="AL216" s="71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1.25" customHeight="1">
      <c r="A217" s="303" t="s">
        <v>1032</v>
      </c>
      <c r="E217" s="10"/>
      <c r="F217" s="1446"/>
      <c r="G217" s="1447"/>
      <c r="H217" s="1442" t="s">
        <v>1157</v>
      </c>
      <c r="I217" s="1454"/>
      <c r="J217" s="1465"/>
      <c r="K217" s="1456"/>
      <c r="L217" s="1169"/>
      <c r="M217" s="1170"/>
      <c r="N217" s="1459"/>
      <c r="O217" s="1460">
        <v>1</v>
      </c>
      <c r="P217" s="1461" t="s">
        <v>19</v>
      </c>
      <c r="Q217" s="1465" t="s">
        <v>22</v>
      </c>
      <c r="R217" s="1465" t="s">
        <v>22</v>
      </c>
      <c r="S217" s="1465" t="s">
        <v>22</v>
      </c>
      <c r="T217" s="1465" t="s">
        <v>22</v>
      </c>
      <c r="U217" s="1465" t="s">
        <v>22</v>
      </c>
      <c r="V217" s="1465" t="s">
        <v>22</v>
      </c>
      <c r="W217" s="1465" t="s">
        <v>22</v>
      </c>
      <c r="X217" s="1465" t="s">
        <v>22</v>
      </c>
      <c r="Y217" s="1465" t="s">
        <v>22</v>
      </c>
      <c r="Z217" s="675"/>
      <c r="AA217" s="676"/>
      <c r="AB217" s="676"/>
      <c r="AC217" s="680"/>
      <c r="AD217" s="680"/>
      <c r="AE217" s="681"/>
      <c r="AF217" s="1457"/>
      <c r="AG217" s="1458"/>
      <c r="AH217" s="1458"/>
      <c r="AI217" s="1457"/>
      <c r="AJ217" s="1458"/>
      <c r="AK217" s="1458"/>
      <c r="AL217" s="71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32.25" customHeight="1">
      <c r="A218" s="303" t="s">
        <v>1032</v>
      </c>
      <c r="E218" s="10"/>
      <c r="F218" s="1446"/>
      <c r="G218" s="1447"/>
      <c r="H218" s="1442" t="s">
        <v>1157</v>
      </c>
      <c r="I218" s="1454"/>
      <c r="J218" s="1465"/>
      <c r="K218" s="1456"/>
      <c r="L218" s="1169"/>
      <c r="M218" s="1170"/>
      <c r="N218" s="1459"/>
      <c r="O218" s="1460"/>
      <c r="P218" s="1462"/>
      <c r="Q218" s="1455"/>
      <c r="R218" s="1415"/>
      <c r="S218" s="1464"/>
      <c r="T218" s="1415"/>
      <c r="U218" s="1415"/>
      <c r="V218" s="1415"/>
      <c r="W218" s="1415"/>
      <c r="X218" s="1415"/>
      <c r="Y218" s="1415"/>
      <c r="Z218" s="987"/>
      <c r="AA218" s="978">
        <v>1</v>
      </c>
      <c r="AB218" s="679" t="s">
        <v>1088</v>
      </c>
      <c r="AC218" s="380">
        <f>118654.74-AC219-AC220</f>
        <v>24697.834000000003</v>
      </c>
      <c r="AD218" s="679" t="str">
        <f>AB218</f>
        <v xml:space="preserve">     Амортизационные отчисления за исключением переоценки основных средств и нематериальных активов</v>
      </c>
      <c r="AE218" s="380">
        <v>3584.6</v>
      </c>
      <c r="AF218" s="1457"/>
      <c r="AG218" s="1458"/>
      <c r="AH218" s="1458"/>
      <c r="AI218" s="1457"/>
      <c r="AJ218" s="1458"/>
      <c r="AK218" s="1458"/>
      <c r="AL218" s="71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13.5" customHeight="1">
      <c r="A219" s="303" t="s">
        <v>1032</v>
      </c>
      <c r="E219" s="10"/>
      <c r="F219" s="1447"/>
      <c r="G219" s="1447"/>
      <c r="H219" s="1447"/>
      <c r="I219" s="1447"/>
      <c r="J219" s="1447"/>
      <c r="K219" s="1447"/>
      <c r="L219" s="1447"/>
      <c r="M219" s="1447"/>
      <c r="N219" s="1447"/>
      <c r="O219" s="1447"/>
      <c r="P219" s="1447"/>
      <c r="Q219" s="1447"/>
      <c r="R219" s="1447"/>
      <c r="S219" s="1447"/>
      <c r="T219" s="1447"/>
      <c r="U219" s="1447"/>
      <c r="V219" s="1447"/>
      <c r="W219" s="1447"/>
      <c r="X219" s="1447"/>
      <c r="Y219" s="1447"/>
      <c r="Z219" s="87" t="s">
        <v>122</v>
      </c>
      <c r="AA219" s="982" t="s">
        <v>110</v>
      </c>
      <c r="AB219" s="679" t="s">
        <v>1094</v>
      </c>
      <c r="AC219" s="380">
        <v>46968.53</v>
      </c>
      <c r="AD219" s="679" t="str">
        <f>AB219</f>
        <v xml:space="preserve">  Кредиты</v>
      </c>
      <c r="AE219" s="380">
        <v>24204</v>
      </c>
      <c r="AF219" s="1479"/>
      <c r="AG219" s="1477"/>
      <c r="AH219" s="1477"/>
      <c r="AI219" s="1479"/>
      <c r="AJ219" s="1477"/>
      <c r="AK219" s="1478"/>
      <c r="AL219" s="71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1.25" customHeight="1">
      <c r="A220" s="303" t="s">
        <v>1032</v>
      </c>
      <c r="E220" s="10"/>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87" t="s">
        <v>122</v>
      </c>
      <c r="AA220" s="982" t="s">
        <v>90</v>
      </c>
      <c r="AB220" s="679" t="s">
        <v>1108</v>
      </c>
      <c r="AC220" s="380">
        <f>39156.98*1.2</f>
        <v>46988.376000000004</v>
      </c>
      <c r="AD220" s="679" t="str">
        <f>AB220</f>
        <v xml:space="preserve">  Прочие</v>
      </c>
      <c r="AE220" s="380">
        <v>0</v>
      </c>
      <c r="AF220" s="1479"/>
      <c r="AG220" s="1477"/>
      <c r="AH220" s="1477"/>
      <c r="AI220" s="1479"/>
      <c r="AJ220" s="1477"/>
      <c r="AK220" s="1478"/>
      <c r="AL220" s="71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1.25" customHeight="1">
      <c r="A221" s="303" t="s">
        <v>1032</v>
      </c>
      <c r="E221" s="10"/>
      <c r="F221" s="1446"/>
      <c r="G221" s="1447"/>
      <c r="H221" s="1442" t="s">
        <v>1157</v>
      </c>
      <c r="I221" s="1454"/>
      <c r="J221" s="1465"/>
      <c r="K221" s="1456"/>
      <c r="L221" s="1169"/>
      <c r="M221" s="1170"/>
      <c r="N221" s="1459"/>
      <c r="O221" s="1460"/>
      <c r="P221" s="1463"/>
      <c r="Q221" s="1455"/>
      <c r="R221" s="1415"/>
      <c r="S221" s="1464"/>
      <c r="T221" s="1415"/>
      <c r="U221" s="1415"/>
      <c r="V221" s="1415"/>
      <c r="W221" s="1415"/>
      <c r="X221" s="1415"/>
      <c r="Y221" s="1415"/>
      <c r="Z221" s="675"/>
      <c r="AA221" s="676"/>
      <c r="AB221" s="110" t="s">
        <v>1078</v>
      </c>
      <c r="AC221" s="680"/>
      <c r="AD221" s="680"/>
      <c r="AE221" s="682"/>
      <c r="AF221" s="1457"/>
      <c r="AG221" s="1458"/>
      <c r="AH221" s="1458"/>
      <c r="AI221" s="1457"/>
      <c r="AJ221" s="1458"/>
      <c r="AK221" s="1458"/>
      <c r="AL221" s="71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1.25" customHeight="1">
      <c r="A222" s="303" t="s">
        <v>1032</v>
      </c>
      <c r="E222" s="10"/>
      <c r="F222" s="1446"/>
      <c r="G222" s="1447"/>
      <c r="H222" s="1442" t="s">
        <v>1157</v>
      </c>
      <c r="I222" s="1454"/>
      <c r="J222" s="1465"/>
      <c r="K222" s="1456"/>
      <c r="L222" s="1169"/>
      <c r="M222" s="1170"/>
      <c r="N222" s="675"/>
      <c r="O222" s="676"/>
      <c r="P222" s="110" t="s">
        <v>1079</v>
      </c>
      <c r="Q222" s="676"/>
      <c r="R222" s="676"/>
      <c r="S222" s="676"/>
      <c r="T222" s="676"/>
      <c r="U222" s="676"/>
      <c r="V222" s="676"/>
      <c r="W222" s="676"/>
      <c r="X222" s="676"/>
      <c r="Y222" s="676"/>
      <c r="Z222" s="676"/>
      <c r="AA222" s="676"/>
      <c r="AB222" s="676"/>
      <c r="AC222" s="676"/>
      <c r="AD222" s="676"/>
      <c r="AE222" s="683"/>
      <c r="AF222" s="1457"/>
      <c r="AG222" s="1458"/>
      <c r="AH222" s="1458"/>
      <c r="AI222" s="1457"/>
      <c r="AJ222" s="1458"/>
      <c r="AK222" s="1458"/>
      <c r="AL222" s="71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1.25" customHeight="1">
      <c r="A223" s="303" t="s">
        <v>1032</v>
      </c>
      <c r="B223" s="303" t="s">
        <v>22</v>
      </c>
      <c r="E223" s="10"/>
      <c r="F223" s="1446"/>
      <c r="G223" s="1182" t="s">
        <v>122</v>
      </c>
      <c r="H223" s="1442" t="s">
        <v>1162</v>
      </c>
      <c r="I223" s="1454" t="s">
        <v>1148</v>
      </c>
      <c r="J223" s="1465" t="s">
        <v>22</v>
      </c>
      <c r="K223" s="1456" t="s">
        <v>1163</v>
      </c>
      <c r="L223" s="1169" t="s">
        <v>19</v>
      </c>
      <c r="M223" s="1170"/>
      <c r="N223" s="1053"/>
      <c r="O223" s="677" t="s">
        <v>382</v>
      </c>
      <c r="P223" s="678"/>
      <c r="Q223" s="678"/>
      <c r="R223" s="678"/>
      <c r="S223" s="678"/>
      <c r="T223" s="678"/>
      <c r="U223" s="678"/>
      <c r="V223" s="678"/>
      <c r="W223" s="678"/>
      <c r="X223" s="678"/>
      <c r="Y223" s="678"/>
      <c r="Z223" s="678"/>
      <c r="AA223" s="678"/>
      <c r="AB223" s="678"/>
      <c r="AC223" s="678"/>
      <c r="AD223" s="678"/>
      <c r="AE223" s="678"/>
      <c r="AF223" s="1457">
        <v>2023</v>
      </c>
      <c r="AG223" s="1458" t="s">
        <v>1081</v>
      </c>
      <c r="AH223" s="1458" t="s">
        <v>1069</v>
      </c>
      <c r="AI223" s="1457">
        <v>2023</v>
      </c>
      <c r="AJ223" s="1458" t="s">
        <v>1081</v>
      </c>
      <c r="AK223" s="1458" t="s">
        <v>1069</v>
      </c>
      <c r="AL223" s="71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20.25" customHeight="1">
      <c r="A224" s="303" t="s">
        <v>1032</v>
      </c>
      <c r="E224" s="10"/>
      <c r="F224" s="1446"/>
      <c r="G224" s="1447"/>
      <c r="H224" s="1442" t="s">
        <v>1160</v>
      </c>
      <c r="I224" s="1454"/>
      <c r="J224" s="1465"/>
      <c r="K224" s="1456"/>
      <c r="L224" s="1169"/>
      <c r="M224" s="1170"/>
      <c r="N224" s="1459"/>
      <c r="O224" s="1460">
        <v>1</v>
      </c>
      <c r="P224" s="1461" t="s">
        <v>19</v>
      </c>
      <c r="Q224" s="1415" t="s">
        <v>22</v>
      </c>
      <c r="R224" s="1415" t="s">
        <v>22</v>
      </c>
      <c r="S224" s="1415" t="s">
        <v>22</v>
      </c>
      <c r="T224" s="1415" t="s">
        <v>22</v>
      </c>
      <c r="U224" s="1415" t="s">
        <v>22</v>
      </c>
      <c r="V224" s="1415" t="s">
        <v>22</v>
      </c>
      <c r="W224" s="1415" t="s">
        <v>22</v>
      </c>
      <c r="X224" s="1415" t="s">
        <v>22</v>
      </c>
      <c r="Y224" s="1415"/>
      <c r="Z224" s="675"/>
      <c r="AA224" s="676"/>
      <c r="AB224" s="676"/>
      <c r="AC224" s="680"/>
      <c r="AD224" s="680"/>
      <c r="AE224" s="681"/>
      <c r="AF224" s="1457"/>
      <c r="AG224" s="1458"/>
      <c r="AH224" s="1458"/>
      <c r="AI224" s="1457"/>
      <c r="AJ224" s="1458"/>
      <c r="AK224" s="1458"/>
      <c r="AL224" s="71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32.25" customHeight="1">
      <c r="A225" s="303" t="s">
        <v>1032</v>
      </c>
      <c r="E225" s="10"/>
      <c r="F225" s="1446"/>
      <c r="G225" s="1447"/>
      <c r="H225" s="1442" t="s">
        <v>1160</v>
      </c>
      <c r="I225" s="1454"/>
      <c r="J225" s="1465"/>
      <c r="K225" s="1456"/>
      <c r="L225" s="1169"/>
      <c r="M225" s="1170"/>
      <c r="N225" s="1459"/>
      <c r="O225" s="1460"/>
      <c r="P225" s="1462"/>
      <c r="Q225" s="1415"/>
      <c r="R225" s="1415"/>
      <c r="S225" s="1464"/>
      <c r="T225" s="1415"/>
      <c r="U225" s="1415"/>
      <c r="V225" s="1415"/>
      <c r="W225" s="1415"/>
      <c r="X225" s="1415"/>
      <c r="Y225" s="1415"/>
      <c r="Z225" s="987"/>
      <c r="AA225" s="978">
        <v>1</v>
      </c>
      <c r="AB225" s="679" t="s">
        <v>1094</v>
      </c>
      <c r="AC225" s="380">
        <v>2490</v>
      </c>
      <c r="AD225" s="679" t="str">
        <f>AB225</f>
        <v xml:space="preserve">  Кредиты</v>
      </c>
      <c r="AE225" s="380">
        <v>1881.33</v>
      </c>
      <c r="AF225" s="1457"/>
      <c r="AG225" s="1458"/>
      <c r="AH225" s="1458"/>
      <c r="AI225" s="1457"/>
      <c r="AJ225" s="1458"/>
      <c r="AK225" s="1458"/>
      <c r="AL225" s="71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29.25" customHeight="1">
      <c r="A226" s="303" t="s">
        <v>1032</v>
      </c>
      <c r="E226" s="10"/>
      <c r="F226" s="1446"/>
      <c r="G226" s="1447"/>
      <c r="H226" s="1442" t="s">
        <v>1160</v>
      </c>
      <c r="I226" s="1454"/>
      <c r="J226" s="1465"/>
      <c r="K226" s="1456"/>
      <c r="L226" s="1169"/>
      <c r="M226" s="1170"/>
      <c r="N226" s="1459"/>
      <c r="O226" s="1460"/>
      <c r="P226" s="1463"/>
      <c r="Q226" s="1415"/>
      <c r="R226" s="1415"/>
      <c r="S226" s="1464"/>
      <c r="T226" s="1415"/>
      <c r="U226" s="1415"/>
      <c r="V226" s="1415"/>
      <c r="W226" s="1415"/>
      <c r="X226" s="1415"/>
      <c r="Y226" s="1415"/>
      <c r="Z226" s="675"/>
      <c r="AA226" s="676"/>
      <c r="AB226" s="110" t="s">
        <v>1078</v>
      </c>
      <c r="AC226" s="680"/>
      <c r="AD226" s="680"/>
      <c r="AE226" s="682"/>
      <c r="AF226" s="1457"/>
      <c r="AG226" s="1458"/>
      <c r="AH226" s="1458"/>
      <c r="AI226" s="1457"/>
      <c r="AJ226" s="1458"/>
      <c r="AK226" s="1458"/>
      <c r="AL226" s="71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1.25" customHeight="1">
      <c r="A227" s="303" t="s">
        <v>1032</v>
      </c>
      <c r="E227" s="10"/>
      <c r="F227" s="1446"/>
      <c r="G227" s="1447"/>
      <c r="H227" s="1442" t="s">
        <v>1160</v>
      </c>
      <c r="I227" s="1454"/>
      <c r="J227" s="1465"/>
      <c r="K227" s="1456"/>
      <c r="L227" s="1169"/>
      <c r="M227" s="1170"/>
      <c r="N227" s="675"/>
      <c r="O227" s="676"/>
      <c r="P227" s="110" t="s">
        <v>1079</v>
      </c>
      <c r="Q227" s="676"/>
      <c r="R227" s="676"/>
      <c r="S227" s="676"/>
      <c r="T227" s="676"/>
      <c r="U227" s="676"/>
      <c r="V227" s="676"/>
      <c r="W227" s="676"/>
      <c r="X227" s="676"/>
      <c r="Y227" s="676"/>
      <c r="Z227" s="676"/>
      <c r="AA227" s="676"/>
      <c r="AB227" s="676"/>
      <c r="AC227" s="676"/>
      <c r="AD227" s="676"/>
      <c r="AE227" s="683"/>
      <c r="AF227" s="1457"/>
      <c r="AG227" s="1458"/>
      <c r="AH227" s="1458"/>
      <c r="AI227" s="1457"/>
      <c r="AJ227" s="1458"/>
      <c r="AK227" s="1458"/>
      <c r="AL227" s="71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11.25" customHeight="1">
      <c r="A228" s="303" t="s">
        <v>1032</v>
      </c>
      <c r="B228" s="303" t="s">
        <v>22</v>
      </c>
      <c r="E228" s="10"/>
      <c r="F228" s="1446"/>
      <c r="G228" s="1182" t="s">
        <v>122</v>
      </c>
      <c r="H228" s="1442" t="s">
        <v>1164</v>
      </c>
      <c r="I228" s="1454" t="s">
        <v>1148</v>
      </c>
      <c r="J228" s="1465" t="s">
        <v>22</v>
      </c>
      <c r="K228" s="1456" t="s">
        <v>1165</v>
      </c>
      <c r="L228" s="1169" t="s">
        <v>19</v>
      </c>
      <c r="M228" s="1170"/>
      <c r="N228" s="1053"/>
      <c r="O228" s="677" t="s">
        <v>382</v>
      </c>
      <c r="P228" s="678"/>
      <c r="Q228" s="678"/>
      <c r="R228" s="678"/>
      <c r="S228" s="678"/>
      <c r="T228" s="678"/>
      <c r="U228" s="678"/>
      <c r="V228" s="678"/>
      <c r="W228" s="678"/>
      <c r="X228" s="678"/>
      <c r="Y228" s="678"/>
      <c r="Z228" s="678"/>
      <c r="AA228" s="678"/>
      <c r="AB228" s="678"/>
      <c r="AC228" s="678"/>
      <c r="AD228" s="678"/>
      <c r="AE228" s="678"/>
      <c r="AF228" s="1457">
        <v>2023</v>
      </c>
      <c r="AG228" s="1458" t="s">
        <v>1093</v>
      </c>
      <c r="AH228" s="1458" t="s">
        <v>1069</v>
      </c>
      <c r="AI228" s="1457">
        <v>2023</v>
      </c>
      <c r="AJ228" s="1458" t="s">
        <v>1093</v>
      </c>
      <c r="AK228" s="1458" t="s">
        <v>1069</v>
      </c>
      <c r="AL228" s="71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1.25" customHeight="1">
      <c r="A229" s="303" t="s">
        <v>1032</v>
      </c>
      <c r="E229" s="10"/>
      <c r="F229" s="1446"/>
      <c r="G229" s="1447"/>
      <c r="H229" s="1442" t="s">
        <v>1162</v>
      </c>
      <c r="I229" s="1454"/>
      <c r="J229" s="1465"/>
      <c r="K229" s="1456"/>
      <c r="L229" s="1169"/>
      <c r="M229" s="1170"/>
      <c r="N229" s="1459"/>
      <c r="O229" s="1460">
        <v>1</v>
      </c>
      <c r="P229" s="1461" t="s">
        <v>19</v>
      </c>
      <c r="Q229" s="1415" t="s">
        <v>22</v>
      </c>
      <c r="R229" s="1415" t="s">
        <v>22</v>
      </c>
      <c r="S229" s="1415" t="s">
        <v>22</v>
      </c>
      <c r="T229" s="1415" t="s">
        <v>22</v>
      </c>
      <c r="U229" s="1415" t="s">
        <v>22</v>
      </c>
      <c r="V229" s="1415" t="s">
        <v>22</v>
      </c>
      <c r="W229" s="1415" t="s">
        <v>22</v>
      </c>
      <c r="X229" s="1415" t="s">
        <v>22</v>
      </c>
      <c r="Y229" s="1415"/>
      <c r="Z229" s="675"/>
      <c r="AA229" s="676"/>
      <c r="AB229" s="676"/>
      <c r="AC229" s="680"/>
      <c r="AD229" s="680"/>
      <c r="AE229" s="681"/>
      <c r="AF229" s="1457"/>
      <c r="AG229" s="1458"/>
      <c r="AH229" s="1458"/>
      <c r="AI229" s="1457"/>
      <c r="AJ229" s="1458"/>
      <c r="AK229" s="1458"/>
      <c r="AL229" s="71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51.75" customHeight="1">
      <c r="A230" s="303" t="s">
        <v>1032</v>
      </c>
      <c r="E230" s="10"/>
      <c r="F230" s="1446"/>
      <c r="G230" s="1447"/>
      <c r="H230" s="1442" t="s">
        <v>1162</v>
      </c>
      <c r="I230" s="1454"/>
      <c r="J230" s="1465"/>
      <c r="K230" s="1456"/>
      <c r="L230" s="1169"/>
      <c r="M230" s="1170"/>
      <c r="N230" s="1459"/>
      <c r="O230" s="1460"/>
      <c r="P230" s="1462"/>
      <c r="Q230" s="1415"/>
      <c r="R230" s="1415"/>
      <c r="S230" s="1464"/>
      <c r="T230" s="1415"/>
      <c r="U230" s="1415"/>
      <c r="V230" s="1415"/>
      <c r="W230" s="1415"/>
      <c r="X230" s="1415"/>
      <c r="Y230" s="1415"/>
      <c r="Z230" s="987"/>
      <c r="AA230" s="978">
        <v>1</v>
      </c>
      <c r="AB230" s="679" t="s">
        <v>1088</v>
      </c>
      <c r="AC230" s="380">
        <v>935</v>
      </c>
      <c r="AD230" s="679" t="str">
        <f>AB230</f>
        <v xml:space="preserve">     Амортизационные отчисления за исключением переоценки основных средств и нематериальных активов</v>
      </c>
      <c r="AE230" s="380">
        <v>935</v>
      </c>
      <c r="AF230" s="1457"/>
      <c r="AG230" s="1458"/>
      <c r="AH230" s="1458"/>
      <c r="AI230" s="1457"/>
      <c r="AJ230" s="1458"/>
      <c r="AK230" s="1458"/>
      <c r="AL230" s="71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1.25" customHeight="1">
      <c r="A231" s="303" t="s">
        <v>1032</v>
      </c>
      <c r="E231" s="10"/>
      <c r="F231" s="1446"/>
      <c r="G231" s="1447"/>
      <c r="H231" s="1442" t="s">
        <v>1162</v>
      </c>
      <c r="I231" s="1454"/>
      <c r="J231" s="1465"/>
      <c r="K231" s="1456"/>
      <c r="L231" s="1169"/>
      <c r="M231" s="1170"/>
      <c r="N231" s="1459"/>
      <c r="O231" s="1460"/>
      <c r="P231" s="1463"/>
      <c r="Q231" s="1415"/>
      <c r="R231" s="1415"/>
      <c r="S231" s="1464"/>
      <c r="T231" s="1415"/>
      <c r="U231" s="1415"/>
      <c r="V231" s="1415"/>
      <c r="W231" s="1415"/>
      <c r="X231" s="1415"/>
      <c r="Y231" s="1415"/>
      <c r="Z231" s="675"/>
      <c r="AA231" s="676"/>
      <c r="AB231" s="110" t="s">
        <v>1078</v>
      </c>
      <c r="AC231" s="680"/>
      <c r="AD231" s="680"/>
      <c r="AE231" s="682"/>
      <c r="AF231" s="1457"/>
      <c r="AG231" s="1458"/>
      <c r="AH231" s="1458"/>
      <c r="AI231" s="1457"/>
      <c r="AJ231" s="1458"/>
      <c r="AK231" s="1458"/>
      <c r="AL231" s="71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1.25" customHeight="1">
      <c r="A232" s="303" t="s">
        <v>1032</v>
      </c>
      <c r="E232" s="10"/>
      <c r="F232" s="1446"/>
      <c r="G232" s="1447"/>
      <c r="H232" s="1442" t="s">
        <v>1162</v>
      </c>
      <c r="I232" s="1454"/>
      <c r="J232" s="1465"/>
      <c r="K232" s="1456"/>
      <c r="L232" s="1169"/>
      <c r="M232" s="1170"/>
      <c r="N232" s="675"/>
      <c r="O232" s="676"/>
      <c r="P232" s="110" t="s">
        <v>1079</v>
      </c>
      <c r="Q232" s="676"/>
      <c r="R232" s="676"/>
      <c r="S232" s="676"/>
      <c r="T232" s="676"/>
      <c r="U232" s="676"/>
      <c r="V232" s="676"/>
      <c r="W232" s="676"/>
      <c r="X232" s="676"/>
      <c r="Y232" s="676"/>
      <c r="Z232" s="676"/>
      <c r="AA232" s="676"/>
      <c r="AB232" s="676"/>
      <c r="AC232" s="676"/>
      <c r="AD232" s="676"/>
      <c r="AE232" s="683"/>
      <c r="AF232" s="1457"/>
      <c r="AG232" s="1458"/>
      <c r="AH232" s="1458"/>
      <c r="AI232" s="1457"/>
      <c r="AJ232" s="1458"/>
      <c r="AK232" s="1458"/>
      <c r="AL232" s="71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2" customHeight="1">
      <c r="A233" s="303" t="s">
        <v>1032</v>
      </c>
      <c r="E233" s="10"/>
      <c r="F233" s="1448"/>
      <c r="G233" s="688"/>
      <c r="H233" s="688"/>
      <c r="I233" s="1444" t="s">
        <v>1166</v>
      </c>
      <c r="J233" s="1444"/>
      <c r="K233" s="1444"/>
      <c r="L233" s="673"/>
      <c r="M233" s="673"/>
      <c r="N233" s="674"/>
      <c r="O233" s="674"/>
      <c r="P233" s="674"/>
      <c r="Q233" s="674"/>
      <c r="R233" s="674"/>
      <c r="S233" s="674"/>
      <c r="T233" s="674"/>
      <c r="U233" s="674"/>
      <c r="V233" s="674"/>
      <c r="W233" s="674"/>
      <c r="X233" s="674"/>
      <c r="Y233" s="674"/>
      <c r="Z233" s="674"/>
      <c r="AA233" s="674"/>
      <c r="AB233" s="674"/>
      <c r="AC233" s="674"/>
      <c r="AD233" s="674"/>
      <c r="AE233" s="674"/>
      <c r="AF233" s="674"/>
      <c r="AG233" s="673"/>
      <c r="AH233" s="673"/>
      <c r="AI233" s="674"/>
      <c r="AJ233" s="673"/>
      <c r="AK233" s="674"/>
      <c r="AL233" s="71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0.75" customHeight="1">
      <c r="A234" s="303" t="s">
        <v>1032</v>
      </c>
      <c r="E234" s="10"/>
      <c r="F234" s="1445">
        <v>2024</v>
      </c>
      <c r="G234" s="1442"/>
      <c r="H234" s="1450" t="s">
        <v>382</v>
      </c>
      <c r="I234" s="1451"/>
      <c r="J234" s="1441"/>
      <c r="K234" s="1441"/>
      <c r="L234" s="1443"/>
      <c r="M234" s="1290"/>
      <c r="N234" s="1067"/>
      <c r="O234" s="1066"/>
      <c r="P234" s="1067"/>
      <c r="Q234" s="1067"/>
      <c r="R234" s="1067"/>
      <c r="S234" s="1067"/>
      <c r="T234" s="1067"/>
      <c r="U234" s="1067"/>
      <c r="V234" s="1067"/>
      <c r="W234" s="1067"/>
      <c r="X234" s="1067"/>
      <c r="Y234" s="1067"/>
      <c r="Z234" s="1067"/>
      <c r="AA234" s="1067"/>
      <c r="AB234" s="1067"/>
      <c r="AC234" s="1067"/>
      <c r="AD234" s="1067"/>
      <c r="AE234" s="1067"/>
      <c r="AF234" s="1449"/>
      <c r="AG234" s="1443"/>
      <c r="AH234" s="1443"/>
      <c r="AI234" s="1449"/>
      <c r="AJ234" s="1443"/>
      <c r="AK234" s="1443"/>
      <c r="AL234" s="71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0.75" customHeight="1">
      <c r="A235" s="303" t="s">
        <v>1032</v>
      </c>
      <c r="E235" s="10"/>
      <c r="F235" s="1445"/>
      <c r="G235" s="1442"/>
      <c r="H235" s="1450"/>
      <c r="I235" s="1451"/>
      <c r="J235" s="1441"/>
      <c r="K235" s="1441"/>
      <c r="L235" s="1443"/>
      <c r="M235" s="1290"/>
      <c r="N235" s="1452"/>
      <c r="O235" s="1453"/>
      <c r="P235" s="1438"/>
      <c r="Q235" s="1441"/>
      <c r="R235" s="1441"/>
      <c r="S235" s="1441"/>
      <c r="T235" s="1441"/>
      <c r="U235" s="1441"/>
      <c r="V235" s="1441"/>
      <c r="W235" s="1441"/>
      <c r="X235" s="1441"/>
      <c r="Y235" s="1441"/>
      <c r="Z235" s="1068"/>
      <c r="AA235" s="1069"/>
      <c r="AB235" s="1069"/>
      <c r="AC235" s="1070"/>
      <c r="AD235" s="1070"/>
      <c r="AE235" s="1071"/>
      <c r="AF235" s="1449"/>
      <c r="AG235" s="1443"/>
      <c r="AH235" s="1443"/>
      <c r="AI235" s="1449"/>
      <c r="AJ235" s="1443"/>
      <c r="AK235" s="1443"/>
      <c r="AL235" s="71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0.75" customHeight="1">
      <c r="A236" s="303" t="s">
        <v>1032</v>
      </c>
      <c r="E236" s="10"/>
      <c r="F236" s="1445"/>
      <c r="G236" s="1442"/>
      <c r="H236" s="1450"/>
      <c r="I236" s="1451"/>
      <c r="J236" s="1441"/>
      <c r="K236" s="1441"/>
      <c r="L236" s="1443"/>
      <c r="M236" s="1290"/>
      <c r="N236" s="1452"/>
      <c r="O236" s="1453"/>
      <c r="P236" s="1439"/>
      <c r="Q236" s="1441"/>
      <c r="R236" s="1441"/>
      <c r="S236" s="1441"/>
      <c r="T236" s="1441"/>
      <c r="U236" s="1441"/>
      <c r="V236" s="1441"/>
      <c r="W236" s="1441"/>
      <c r="X236" s="1441"/>
      <c r="Y236" s="1441"/>
      <c r="Z236" s="1072"/>
      <c r="AA236" s="1073"/>
      <c r="AB236" s="1074"/>
      <c r="AC236" s="1075"/>
      <c r="AD236" s="1074"/>
      <c r="AE236" s="1075"/>
      <c r="AF236" s="1449"/>
      <c r="AG236" s="1443"/>
      <c r="AH236" s="1443"/>
      <c r="AI236" s="1449"/>
      <c r="AJ236" s="1443"/>
      <c r="AK236" s="1443"/>
      <c r="AL236" s="71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0.75" customHeight="1">
      <c r="A237" s="303" t="s">
        <v>1032</v>
      </c>
      <c r="E237" s="10"/>
      <c r="F237" s="1445"/>
      <c r="G237" s="1442"/>
      <c r="H237" s="1450"/>
      <c r="I237" s="1451"/>
      <c r="J237" s="1441"/>
      <c r="K237" s="1441"/>
      <c r="L237" s="1443"/>
      <c r="M237" s="1290"/>
      <c r="N237" s="1452"/>
      <c r="O237" s="1453"/>
      <c r="P237" s="1440"/>
      <c r="Q237" s="1441"/>
      <c r="R237" s="1441"/>
      <c r="S237" s="1441"/>
      <c r="T237" s="1441"/>
      <c r="U237" s="1441"/>
      <c r="V237" s="1441"/>
      <c r="W237" s="1441"/>
      <c r="X237" s="1441"/>
      <c r="Y237" s="1441"/>
      <c r="Z237" s="1068"/>
      <c r="AA237" s="1069"/>
      <c r="AB237" s="1076"/>
      <c r="AC237" s="1070"/>
      <c r="AD237" s="1070"/>
      <c r="AE237" s="1077"/>
      <c r="AF237" s="1449"/>
      <c r="AG237" s="1443"/>
      <c r="AH237" s="1443"/>
      <c r="AI237" s="1449"/>
      <c r="AJ237" s="1443"/>
      <c r="AK237" s="1443"/>
      <c r="AL237" s="71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0.75" customHeight="1">
      <c r="A238" s="303" t="s">
        <v>1032</v>
      </c>
      <c r="E238" s="10"/>
      <c r="F238" s="1445"/>
      <c r="G238" s="1442"/>
      <c r="H238" s="1450"/>
      <c r="I238" s="1451"/>
      <c r="J238" s="1441"/>
      <c r="K238" s="1441"/>
      <c r="L238" s="1443"/>
      <c r="M238" s="1290"/>
      <c r="N238" s="1069"/>
      <c r="O238" s="1069"/>
      <c r="P238" s="1076"/>
      <c r="Q238" s="1069"/>
      <c r="R238" s="1069"/>
      <c r="S238" s="1069"/>
      <c r="T238" s="1069"/>
      <c r="U238" s="1069"/>
      <c r="V238" s="1069"/>
      <c r="W238" s="1069"/>
      <c r="X238" s="1069"/>
      <c r="Y238" s="1069"/>
      <c r="Z238" s="1069"/>
      <c r="AA238" s="1069"/>
      <c r="AB238" s="1069"/>
      <c r="AC238" s="1069"/>
      <c r="AD238" s="1069"/>
      <c r="AE238" s="1078"/>
      <c r="AF238" s="1449"/>
      <c r="AG238" s="1443"/>
      <c r="AH238" s="1443"/>
      <c r="AI238" s="1449"/>
      <c r="AJ238" s="1443"/>
      <c r="AK238" s="1443"/>
      <c r="AL238" s="71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1.25" customHeight="1">
      <c r="A239" s="303" t="s">
        <v>1032</v>
      </c>
      <c r="B239" s="303" t="s">
        <v>22</v>
      </c>
      <c r="E239" s="10"/>
      <c r="F239" s="1446"/>
      <c r="G239" s="1182" t="s">
        <v>122</v>
      </c>
      <c r="H239" s="1442" t="s">
        <v>109</v>
      </c>
      <c r="I239" s="1454" t="s">
        <v>1082</v>
      </c>
      <c r="J239" s="1465" t="s">
        <v>22</v>
      </c>
      <c r="K239" s="1456" t="s">
        <v>1167</v>
      </c>
      <c r="L239" s="1169" t="s">
        <v>19</v>
      </c>
      <c r="M239" s="1170"/>
      <c r="N239" s="1053"/>
      <c r="O239" s="677" t="s">
        <v>382</v>
      </c>
      <c r="P239" s="678"/>
      <c r="Q239" s="678"/>
      <c r="R239" s="678"/>
      <c r="S239" s="678"/>
      <c r="T239" s="678"/>
      <c r="U239" s="678"/>
      <c r="V239" s="678"/>
      <c r="W239" s="678"/>
      <c r="X239" s="678"/>
      <c r="Y239" s="678"/>
      <c r="Z239" s="678"/>
      <c r="AA239" s="678"/>
      <c r="AB239" s="678"/>
      <c r="AC239" s="678"/>
      <c r="AD239" s="678"/>
      <c r="AE239" s="678"/>
      <c r="AF239" s="1457">
        <v>2024</v>
      </c>
      <c r="AG239" s="1458" t="s">
        <v>1081</v>
      </c>
      <c r="AH239" s="1458" t="s">
        <v>1122</v>
      </c>
      <c r="AI239" s="1466"/>
      <c r="AJ239" s="1458" t="s">
        <v>1084</v>
      </c>
      <c r="AK239" s="1458" t="s">
        <v>1084</v>
      </c>
      <c r="AL239" s="71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1.25" customHeight="1">
      <c r="A240" s="303" t="s">
        <v>1032</v>
      </c>
      <c r="E240" s="10"/>
      <c r="F240" s="1446"/>
      <c r="G240" s="1447"/>
      <c r="H240" s="1442" t="s">
        <v>382</v>
      </c>
      <c r="I240" s="1454"/>
      <c r="J240" s="1465"/>
      <c r="K240" s="1456"/>
      <c r="L240" s="1169"/>
      <c r="M240" s="1170"/>
      <c r="N240" s="1459"/>
      <c r="O240" s="1460">
        <v>1</v>
      </c>
      <c r="P240" s="1461" t="s">
        <v>62</v>
      </c>
      <c r="Q240" s="1455" t="s">
        <v>1071</v>
      </c>
      <c r="R240" s="1464" t="s">
        <v>1072</v>
      </c>
      <c r="S240" s="1464" t="s">
        <v>100</v>
      </c>
      <c r="T240" s="1464" t="s">
        <v>100</v>
      </c>
      <c r="U240" s="1464" t="s">
        <v>101</v>
      </c>
      <c r="V240" s="1464" t="s">
        <v>1073</v>
      </c>
      <c r="W240" s="1464" t="s">
        <v>1074</v>
      </c>
      <c r="X240" s="1464" t="s">
        <v>1075</v>
      </c>
      <c r="Y240" s="1464" t="s">
        <v>1076</v>
      </c>
      <c r="Z240" s="675"/>
      <c r="AA240" s="676"/>
      <c r="AB240" s="676"/>
      <c r="AC240" s="680"/>
      <c r="AD240" s="680"/>
      <c r="AE240" s="681"/>
      <c r="AF240" s="1457"/>
      <c r="AG240" s="1458"/>
      <c r="AH240" s="1458"/>
      <c r="AI240" s="1466"/>
      <c r="AJ240" s="1458"/>
      <c r="AK240" s="1458"/>
      <c r="AL240" s="71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32.25" customHeight="1">
      <c r="A241" s="303" t="s">
        <v>1032</v>
      </c>
      <c r="E241" s="10"/>
      <c r="F241" s="1446"/>
      <c r="G241" s="1447"/>
      <c r="H241" s="1442" t="s">
        <v>382</v>
      </c>
      <c r="I241" s="1454"/>
      <c r="J241" s="1465"/>
      <c r="K241" s="1456"/>
      <c r="L241" s="1169"/>
      <c r="M241" s="1170"/>
      <c r="N241" s="1459"/>
      <c r="O241" s="1460"/>
      <c r="P241" s="1462"/>
      <c r="Q241" s="1455"/>
      <c r="R241" s="1415"/>
      <c r="S241" s="1464"/>
      <c r="T241" s="1415"/>
      <c r="U241" s="1415"/>
      <c r="V241" s="1415"/>
      <c r="W241" s="1415"/>
      <c r="X241" s="1415"/>
      <c r="Y241" s="1415"/>
      <c r="Z241" s="987"/>
      <c r="AA241" s="978">
        <v>1</v>
      </c>
      <c r="AB241" s="679" t="s">
        <v>1088</v>
      </c>
      <c r="AC241" s="380">
        <v>222.42</v>
      </c>
      <c r="AD241" s="679" t="str">
        <f>AB241</f>
        <v xml:space="preserve">     Амортизационные отчисления за исключением переоценки основных средств и нематериальных активов</v>
      </c>
      <c r="AE241" s="380">
        <v>222.42</v>
      </c>
      <c r="AF241" s="1457"/>
      <c r="AG241" s="1458"/>
      <c r="AH241" s="1458"/>
      <c r="AI241" s="1466"/>
      <c r="AJ241" s="1458"/>
      <c r="AK241" s="1458"/>
      <c r="AL241" s="71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1.25" customHeight="1">
      <c r="A242" s="303" t="s">
        <v>1032</v>
      </c>
      <c r="E242" s="10"/>
      <c r="F242" s="1446"/>
      <c r="G242" s="1447"/>
      <c r="H242" s="1442" t="s">
        <v>382</v>
      </c>
      <c r="I242" s="1454"/>
      <c r="J242" s="1465"/>
      <c r="K242" s="1456"/>
      <c r="L242" s="1169"/>
      <c r="M242" s="1170"/>
      <c r="N242" s="1459"/>
      <c r="O242" s="1460"/>
      <c r="P242" s="1463"/>
      <c r="Q242" s="1455"/>
      <c r="R242" s="1415"/>
      <c r="S242" s="1464"/>
      <c r="T242" s="1415"/>
      <c r="U242" s="1415"/>
      <c r="V242" s="1415"/>
      <c r="W242" s="1415"/>
      <c r="X242" s="1415"/>
      <c r="Y242" s="1415"/>
      <c r="Z242" s="675"/>
      <c r="AA242" s="676"/>
      <c r="AB242" s="110" t="s">
        <v>1078</v>
      </c>
      <c r="AC242" s="680"/>
      <c r="AD242" s="680"/>
      <c r="AE242" s="682"/>
      <c r="AF242" s="1457"/>
      <c r="AG242" s="1458"/>
      <c r="AH242" s="1458"/>
      <c r="AI242" s="1466"/>
      <c r="AJ242" s="1458"/>
      <c r="AK242" s="1458"/>
      <c r="AL242" s="71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11.25" customHeight="1">
      <c r="A243" s="303" t="s">
        <v>1032</v>
      </c>
      <c r="E243" s="10"/>
      <c r="F243" s="1446"/>
      <c r="G243" s="1447"/>
      <c r="H243" s="1442" t="s">
        <v>382</v>
      </c>
      <c r="I243" s="1454"/>
      <c r="J243" s="1465"/>
      <c r="K243" s="1456"/>
      <c r="L243" s="1169"/>
      <c r="M243" s="1170"/>
      <c r="N243" s="675"/>
      <c r="O243" s="676"/>
      <c r="P243" s="110" t="s">
        <v>1079</v>
      </c>
      <c r="Q243" s="676"/>
      <c r="R243" s="676"/>
      <c r="S243" s="676"/>
      <c r="T243" s="676"/>
      <c r="U243" s="676"/>
      <c r="V243" s="676"/>
      <c r="W243" s="676"/>
      <c r="X243" s="676"/>
      <c r="Y243" s="676"/>
      <c r="Z243" s="676"/>
      <c r="AA243" s="676"/>
      <c r="AB243" s="676"/>
      <c r="AC243" s="676"/>
      <c r="AD243" s="676"/>
      <c r="AE243" s="683"/>
      <c r="AF243" s="1457"/>
      <c r="AG243" s="1458"/>
      <c r="AH243" s="1458"/>
      <c r="AI243" s="1466"/>
      <c r="AJ243" s="1458"/>
      <c r="AK243" s="1458"/>
      <c r="AL243" s="71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1.25" customHeight="1">
      <c r="A244" s="303" t="s">
        <v>1032</v>
      </c>
      <c r="B244" s="303" t="s">
        <v>22</v>
      </c>
      <c r="E244" s="10"/>
      <c r="F244" s="1446"/>
      <c r="G244" s="1182" t="s">
        <v>122</v>
      </c>
      <c r="H244" s="1442" t="s">
        <v>110</v>
      </c>
      <c r="I244" s="1454" t="s">
        <v>1082</v>
      </c>
      <c r="J244" s="1465" t="s">
        <v>22</v>
      </c>
      <c r="K244" s="1456" t="s">
        <v>1168</v>
      </c>
      <c r="L244" s="1169" t="s">
        <v>19</v>
      </c>
      <c r="M244" s="1170"/>
      <c r="N244" s="1053"/>
      <c r="O244" s="677" t="s">
        <v>382</v>
      </c>
      <c r="P244" s="678"/>
      <c r="Q244" s="678"/>
      <c r="R244" s="678"/>
      <c r="S244" s="678"/>
      <c r="T244" s="678"/>
      <c r="U244" s="678"/>
      <c r="V244" s="678"/>
      <c r="W244" s="678"/>
      <c r="X244" s="678"/>
      <c r="Y244" s="678"/>
      <c r="Z244" s="678"/>
      <c r="AA244" s="678"/>
      <c r="AB244" s="678"/>
      <c r="AC244" s="678"/>
      <c r="AD244" s="678"/>
      <c r="AE244" s="678"/>
      <c r="AF244" s="1457">
        <v>2024</v>
      </c>
      <c r="AG244" s="1458" t="s">
        <v>1070</v>
      </c>
      <c r="AH244" s="1458" t="s">
        <v>1106</v>
      </c>
      <c r="AI244" s="1457">
        <v>2024</v>
      </c>
      <c r="AJ244" s="1458" t="s">
        <v>1070</v>
      </c>
      <c r="AK244" s="1458" t="s">
        <v>1106</v>
      </c>
      <c r="AL244" s="71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1.25" customHeight="1">
      <c r="A245" s="303" t="s">
        <v>1032</v>
      </c>
      <c r="E245" s="10"/>
      <c r="F245" s="1446"/>
      <c r="G245" s="1447"/>
      <c r="H245" s="1442" t="s">
        <v>109</v>
      </c>
      <c r="I245" s="1454"/>
      <c r="J245" s="1465"/>
      <c r="K245" s="1456"/>
      <c r="L245" s="1169"/>
      <c r="M245" s="1170"/>
      <c r="N245" s="1459"/>
      <c r="O245" s="1460">
        <v>1</v>
      </c>
      <c r="P245" s="1461" t="s">
        <v>62</v>
      </c>
      <c r="Q245" s="1455" t="s">
        <v>1085</v>
      </c>
      <c r="R245" s="1464" t="s">
        <v>1072</v>
      </c>
      <c r="S245" s="1464" t="s">
        <v>100</v>
      </c>
      <c r="T245" s="1464" t="s">
        <v>100</v>
      </c>
      <c r="U245" s="1464" t="s">
        <v>101</v>
      </c>
      <c r="V245" s="1464" t="s">
        <v>1073</v>
      </c>
      <c r="W245" s="1464" t="s">
        <v>1074</v>
      </c>
      <c r="X245" s="1464" t="s">
        <v>1086</v>
      </c>
      <c r="Y245" s="1464" t="s">
        <v>1087</v>
      </c>
      <c r="Z245" s="675"/>
      <c r="AA245" s="676"/>
      <c r="AB245" s="676"/>
      <c r="AC245" s="680"/>
      <c r="AD245" s="680"/>
      <c r="AE245" s="681"/>
      <c r="AF245" s="1457"/>
      <c r="AG245" s="1458"/>
      <c r="AH245" s="1458"/>
      <c r="AI245" s="1457"/>
      <c r="AJ245" s="1458"/>
      <c r="AK245" s="1458"/>
      <c r="AL245" s="71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32.25" customHeight="1">
      <c r="A246" s="303" t="s">
        <v>1032</v>
      </c>
      <c r="E246" s="10"/>
      <c r="F246" s="1446"/>
      <c r="G246" s="1447"/>
      <c r="H246" s="1442" t="s">
        <v>109</v>
      </c>
      <c r="I246" s="1454"/>
      <c r="J246" s="1465"/>
      <c r="K246" s="1456"/>
      <c r="L246" s="1169"/>
      <c r="M246" s="1170"/>
      <c r="N246" s="1459"/>
      <c r="O246" s="1460"/>
      <c r="P246" s="1462"/>
      <c r="Q246" s="1455"/>
      <c r="R246" s="1415"/>
      <c r="S246" s="1464"/>
      <c r="T246" s="1415"/>
      <c r="U246" s="1415"/>
      <c r="V246" s="1415"/>
      <c r="W246" s="1415"/>
      <c r="X246" s="1415"/>
      <c r="Y246" s="1415"/>
      <c r="Z246" s="987"/>
      <c r="AA246" s="978">
        <v>1</v>
      </c>
      <c r="AB246" s="679" t="s">
        <v>1088</v>
      </c>
      <c r="AC246" s="380">
        <v>2870.24</v>
      </c>
      <c r="AD246" s="679" t="str">
        <f>AB246</f>
        <v xml:space="preserve">     Амортизационные отчисления за исключением переоценки основных средств и нематериальных активов</v>
      </c>
      <c r="AE246" s="380">
        <v>2870.24</v>
      </c>
      <c r="AF246" s="1457"/>
      <c r="AG246" s="1458"/>
      <c r="AH246" s="1458"/>
      <c r="AI246" s="1457"/>
      <c r="AJ246" s="1458"/>
      <c r="AK246" s="1458"/>
      <c r="AL246" s="71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1.25" customHeight="1">
      <c r="A247" s="303" t="s">
        <v>1032</v>
      </c>
      <c r="E247" s="10"/>
      <c r="F247" s="1446"/>
      <c r="G247" s="1447"/>
      <c r="H247" s="1442" t="s">
        <v>109</v>
      </c>
      <c r="I247" s="1454"/>
      <c r="J247" s="1465"/>
      <c r="K247" s="1456"/>
      <c r="L247" s="1169"/>
      <c r="M247" s="1170"/>
      <c r="N247" s="1459"/>
      <c r="O247" s="1460"/>
      <c r="P247" s="1463"/>
      <c r="Q247" s="1455"/>
      <c r="R247" s="1415"/>
      <c r="S247" s="1464"/>
      <c r="T247" s="1415"/>
      <c r="U247" s="1415"/>
      <c r="V247" s="1415"/>
      <c r="W247" s="1415"/>
      <c r="X247" s="1415"/>
      <c r="Y247" s="1415"/>
      <c r="Z247" s="675"/>
      <c r="AA247" s="676"/>
      <c r="AB247" s="110" t="s">
        <v>1078</v>
      </c>
      <c r="AC247" s="680"/>
      <c r="AD247" s="680"/>
      <c r="AE247" s="682"/>
      <c r="AF247" s="1457"/>
      <c r="AG247" s="1458"/>
      <c r="AH247" s="1458"/>
      <c r="AI247" s="1457"/>
      <c r="AJ247" s="1458"/>
      <c r="AK247" s="1458"/>
      <c r="AL247" s="71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11.25" customHeight="1">
      <c r="A248" s="303" t="s">
        <v>1032</v>
      </c>
      <c r="E248" s="10"/>
      <c r="F248" s="1446"/>
      <c r="G248" s="1447"/>
      <c r="H248" s="1447"/>
      <c r="I248" s="1467"/>
      <c r="J248" s="1467"/>
      <c r="K248" s="1473"/>
      <c r="L248" s="1467"/>
      <c r="M248" s="1447"/>
      <c r="N248" s="1182" t="s">
        <v>122</v>
      </c>
      <c r="O248" s="1483" t="s">
        <v>110</v>
      </c>
      <c r="P248" s="1461" t="s">
        <v>62</v>
      </c>
      <c r="Q248" s="1455" t="s">
        <v>1159</v>
      </c>
      <c r="R248" s="1464" t="s">
        <v>1072</v>
      </c>
      <c r="S248" s="1464" t="s">
        <v>100</v>
      </c>
      <c r="T248" s="1464" t="s">
        <v>100</v>
      </c>
      <c r="U248" s="1464" t="s">
        <v>101</v>
      </c>
      <c r="V248" s="1464" t="s">
        <v>1073</v>
      </c>
      <c r="W248" s="1464" t="s">
        <v>1074</v>
      </c>
      <c r="X248" s="1464" t="s">
        <v>382</v>
      </c>
      <c r="Y248" s="1464" t="s">
        <v>382</v>
      </c>
      <c r="Z248" s="675"/>
      <c r="AA248" s="676"/>
      <c r="AB248" s="676"/>
      <c r="AC248" s="680"/>
      <c r="AD248" s="680"/>
      <c r="AE248" s="680"/>
      <c r="AF248" s="1474"/>
      <c r="AG248" s="1477"/>
      <c r="AH248" s="1477"/>
      <c r="AI248" s="1474"/>
      <c r="AJ248" s="1477"/>
      <c r="AK248" s="1478"/>
      <c r="AL248" s="71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32.25" customHeight="1">
      <c r="A249" s="303" t="s">
        <v>1032</v>
      </c>
      <c r="E249" s="10"/>
      <c r="F249" s="1446"/>
      <c r="G249" s="1447"/>
      <c r="H249" s="1447"/>
      <c r="I249" s="1468"/>
      <c r="J249" s="1468"/>
      <c r="K249" s="1473"/>
      <c r="L249" s="1468"/>
      <c r="M249" s="1447"/>
      <c r="N249" s="1459"/>
      <c r="O249" s="1483">
        <v>1</v>
      </c>
      <c r="P249" s="1462"/>
      <c r="Q249" s="1455"/>
      <c r="R249" s="1415"/>
      <c r="S249" s="1464"/>
      <c r="T249" s="1415"/>
      <c r="U249" s="1415"/>
      <c r="V249" s="1415"/>
      <c r="W249" s="1415"/>
      <c r="X249" s="1415"/>
      <c r="Y249" s="1415"/>
      <c r="Z249" s="987"/>
      <c r="AA249" s="978">
        <v>1</v>
      </c>
      <c r="AB249" s="679" t="s">
        <v>1088</v>
      </c>
      <c r="AC249" s="380">
        <v>2870.23</v>
      </c>
      <c r="AD249" s="679" t="str">
        <f>AB249</f>
        <v xml:space="preserve">     Амортизационные отчисления за исключением переоценки основных средств и нематериальных активов</v>
      </c>
      <c r="AE249" s="421">
        <v>2870.23</v>
      </c>
      <c r="AF249" s="1475"/>
      <c r="AG249" s="1477"/>
      <c r="AH249" s="1477"/>
      <c r="AI249" s="1475"/>
      <c r="AJ249" s="1477"/>
      <c r="AK249" s="1478"/>
      <c r="AL249" s="71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1.25" customHeight="1">
      <c r="A250" s="303" t="s">
        <v>1032</v>
      </c>
      <c r="E250" s="10"/>
      <c r="F250" s="1446"/>
      <c r="G250" s="1447"/>
      <c r="H250" s="1447"/>
      <c r="I250" s="1469"/>
      <c r="J250" s="1469"/>
      <c r="K250" s="1473"/>
      <c r="L250" s="1469"/>
      <c r="M250" s="1447"/>
      <c r="N250" s="1459"/>
      <c r="O250" s="1483">
        <v>1</v>
      </c>
      <c r="P250" s="1463"/>
      <c r="Q250" s="1455"/>
      <c r="R250" s="1415"/>
      <c r="S250" s="1464"/>
      <c r="T250" s="1415"/>
      <c r="U250" s="1415"/>
      <c r="V250" s="1415"/>
      <c r="W250" s="1415"/>
      <c r="X250" s="1415"/>
      <c r="Y250" s="1415"/>
      <c r="Z250" s="675"/>
      <c r="AA250" s="676"/>
      <c r="AB250" s="110" t="s">
        <v>1078</v>
      </c>
      <c r="AC250" s="680"/>
      <c r="AD250" s="680"/>
      <c r="AE250" s="680"/>
      <c r="AF250" s="1476"/>
      <c r="AG250" s="1477"/>
      <c r="AH250" s="1477"/>
      <c r="AI250" s="1476"/>
      <c r="AJ250" s="1477"/>
      <c r="AK250" s="1478"/>
      <c r="AL250" s="71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1.25" customHeight="1">
      <c r="A251" s="303" t="s">
        <v>1032</v>
      </c>
      <c r="E251" s="10"/>
      <c r="F251" s="1446"/>
      <c r="G251" s="1447"/>
      <c r="H251" s="1442" t="s">
        <v>109</v>
      </c>
      <c r="I251" s="1454"/>
      <c r="J251" s="1465"/>
      <c r="K251" s="1456"/>
      <c r="L251" s="1169"/>
      <c r="M251" s="1170"/>
      <c r="N251" s="675"/>
      <c r="O251" s="676"/>
      <c r="P251" s="110" t="s">
        <v>1079</v>
      </c>
      <c r="Q251" s="676"/>
      <c r="R251" s="676"/>
      <c r="S251" s="676"/>
      <c r="T251" s="676"/>
      <c r="U251" s="676"/>
      <c r="V251" s="676"/>
      <c r="W251" s="676"/>
      <c r="X251" s="676"/>
      <c r="Y251" s="676"/>
      <c r="Z251" s="676"/>
      <c r="AA251" s="676"/>
      <c r="AB251" s="676"/>
      <c r="AC251" s="676"/>
      <c r="AD251" s="676"/>
      <c r="AE251" s="683"/>
      <c r="AF251" s="1457"/>
      <c r="AG251" s="1458"/>
      <c r="AH251" s="1458"/>
      <c r="AI251" s="1457"/>
      <c r="AJ251" s="1458"/>
      <c r="AK251" s="1458"/>
      <c r="AL251" s="71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1.25" customHeight="1">
      <c r="A252" s="303" t="s">
        <v>1032</v>
      </c>
      <c r="B252" s="303" t="s">
        <v>22</v>
      </c>
      <c r="E252" s="10"/>
      <c r="F252" s="1446"/>
      <c r="G252" s="1182" t="s">
        <v>122</v>
      </c>
      <c r="H252" s="1442" t="s">
        <v>90</v>
      </c>
      <c r="I252" s="1454" t="s">
        <v>1082</v>
      </c>
      <c r="J252" s="1465" t="s">
        <v>22</v>
      </c>
      <c r="K252" s="1456" t="s">
        <v>1169</v>
      </c>
      <c r="L252" s="1169" t="s">
        <v>19</v>
      </c>
      <c r="M252" s="1170"/>
      <c r="N252" s="1053"/>
      <c r="O252" s="677" t="s">
        <v>382</v>
      </c>
      <c r="P252" s="678"/>
      <c r="Q252" s="678"/>
      <c r="R252" s="678"/>
      <c r="S252" s="678"/>
      <c r="T252" s="678"/>
      <c r="U252" s="678"/>
      <c r="V252" s="678"/>
      <c r="W252" s="678"/>
      <c r="X252" s="678"/>
      <c r="Y252" s="678"/>
      <c r="Z252" s="678"/>
      <c r="AA252" s="678"/>
      <c r="AB252" s="678"/>
      <c r="AC252" s="678"/>
      <c r="AD252" s="678"/>
      <c r="AE252" s="678"/>
      <c r="AF252" s="1457">
        <v>2024</v>
      </c>
      <c r="AG252" s="1458" t="s">
        <v>1070</v>
      </c>
      <c r="AH252" s="1458" t="s">
        <v>1106</v>
      </c>
      <c r="AI252" s="1457">
        <v>2024</v>
      </c>
      <c r="AJ252" s="1458" t="s">
        <v>1070</v>
      </c>
      <c r="AK252" s="1458" t="s">
        <v>1106</v>
      </c>
      <c r="AL252" s="71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10.5" customHeight="1">
      <c r="A253" s="303" t="s">
        <v>1032</v>
      </c>
      <c r="E253" s="10"/>
      <c r="F253" s="1446"/>
      <c r="G253" s="1447"/>
      <c r="H253" s="1442" t="s">
        <v>110</v>
      </c>
      <c r="I253" s="1454"/>
      <c r="J253" s="1465"/>
      <c r="K253" s="1456"/>
      <c r="L253" s="1169"/>
      <c r="M253" s="1170"/>
      <c r="N253" s="1459"/>
      <c r="O253" s="1460">
        <v>1</v>
      </c>
      <c r="P253" s="1461" t="s">
        <v>62</v>
      </c>
      <c r="Q253" s="1455" t="s">
        <v>1071</v>
      </c>
      <c r="R253" s="1464" t="s">
        <v>1072</v>
      </c>
      <c r="S253" s="1464" t="s">
        <v>100</v>
      </c>
      <c r="T253" s="1464" t="s">
        <v>100</v>
      </c>
      <c r="U253" s="1464" t="s">
        <v>101</v>
      </c>
      <c r="V253" s="1464" t="s">
        <v>1073</v>
      </c>
      <c r="W253" s="1464" t="s">
        <v>1074</v>
      </c>
      <c r="X253" s="1464" t="s">
        <v>1075</v>
      </c>
      <c r="Y253" s="1464" t="s">
        <v>1076</v>
      </c>
      <c r="Z253" s="675"/>
      <c r="AA253" s="676"/>
      <c r="AB253" s="676"/>
      <c r="AC253" s="680"/>
      <c r="AD253" s="680"/>
      <c r="AE253" s="681"/>
      <c r="AF253" s="1457"/>
      <c r="AG253" s="1458"/>
      <c r="AH253" s="1458"/>
      <c r="AI253" s="1457"/>
      <c r="AJ253" s="1458"/>
      <c r="AK253" s="1458"/>
      <c r="AL253" s="71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32.25" customHeight="1">
      <c r="A254" s="303" t="s">
        <v>1032</v>
      </c>
      <c r="E254" s="10"/>
      <c r="F254" s="1446"/>
      <c r="G254" s="1447"/>
      <c r="H254" s="1442" t="s">
        <v>110</v>
      </c>
      <c r="I254" s="1454"/>
      <c r="J254" s="1465"/>
      <c r="K254" s="1456"/>
      <c r="L254" s="1169"/>
      <c r="M254" s="1170"/>
      <c r="N254" s="1459"/>
      <c r="O254" s="1460"/>
      <c r="P254" s="1462"/>
      <c r="Q254" s="1455"/>
      <c r="R254" s="1415"/>
      <c r="S254" s="1464"/>
      <c r="T254" s="1415"/>
      <c r="U254" s="1415"/>
      <c r="V254" s="1415"/>
      <c r="W254" s="1415"/>
      <c r="X254" s="1415"/>
      <c r="Y254" s="1415"/>
      <c r="Z254" s="987"/>
      <c r="AA254" s="978">
        <v>1</v>
      </c>
      <c r="AB254" s="679" t="s">
        <v>1088</v>
      </c>
      <c r="AC254" s="380">
        <v>4264.9799999999996</v>
      </c>
      <c r="AD254" s="679" t="str">
        <f>AB254</f>
        <v xml:space="preserve">     Амортизационные отчисления за исключением переоценки основных средств и нематериальных активов</v>
      </c>
      <c r="AE254" s="380">
        <v>4264.9799999999996</v>
      </c>
      <c r="AF254" s="1457"/>
      <c r="AG254" s="1458"/>
      <c r="AH254" s="1458"/>
      <c r="AI254" s="1457"/>
      <c r="AJ254" s="1458"/>
      <c r="AK254" s="1458"/>
      <c r="AL254" s="71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1.25" customHeight="1">
      <c r="A255" s="303" t="s">
        <v>1032</v>
      </c>
      <c r="E255" s="10"/>
      <c r="F255" s="1446"/>
      <c r="G255" s="1447"/>
      <c r="H255" s="1442" t="s">
        <v>110</v>
      </c>
      <c r="I255" s="1454"/>
      <c r="J255" s="1465"/>
      <c r="K255" s="1456"/>
      <c r="L255" s="1169"/>
      <c r="M255" s="1170"/>
      <c r="N255" s="1459"/>
      <c r="O255" s="1460"/>
      <c r="P255" s="1463"/>
      <c r="Q255" s="1455"/>
      <c r="R255" s="1415"/>
      <c r="S255" s="1464"/>
      <c r="T255" s="1415"/>
      <c r="U255" s="1415"/>
      <c r="V255" s="1415"/>
      <c r="W255" s="1415"/>
      <c r="X255" s="1415"/>
      <c r="Y255" s="1415"/>
      <c r="Z255" s="675"/>
      <c r="AA255" s="676"/>
      <c r="AB255" s="110" t="s">
        <v>1078</v>
      </c>
      <c r="AC255" s="680"/>
      <c r="AD255" s="680"/>
      <c r="AE255" s="682"/>
      <c r="AF255" s="1457"/>
      <c r="AG255" s="1458"/>
      <c r="AH255" s="1458"/>
      <c r="AI255" s="1457"/>
      <c r="AJ255" s="1458"/>
      <c r="AK255" s="1458"/>
      <c r="AL255" s="71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1.25" customHeight="1">
      <c r="A256" s="303" t="s">
        <v>1032</v>
      </c>
      <c r="E256" s="10"/>
      <c r="F256" s="1446"/>
      <c r="G256" s="1447"/>
      <c r="H256" s="1442" t="s">
        <v>110</v>
      </c>
      <c r="I256" s="1454"/>
      <c r="J256" s="1465"/>
      <c r="K256" s="1456"/>
      <c r="L256" s="1169"/>
      <c r="M256" s="1170"/>
      <c r="N256" s="675"/>
      <c r="O256" s="676"/>
      <c r="P256" s="110" t="s">
        <v>1079</v>
      </c>
      <c r="Q256" s="676"/>
      <c r="R256" s="676"/>
      <c r="S256" s="676"/>
      <c r="T256" s="676"/>
      <c r="U256" s="676"/>
      <c r="V256" s="676"/>
      <c r="W256" s="676"/>
      <c r="X256" s="676"/>
      <c r="Y256" s="676"/>
      <c r="Z256" s="676"/>
      <c r="AA256" s="676"/>
      <c r="AB256" s="676"/>
      <c r="AC256" s="676"/>
      <c r="AD256" s="676"/>
      <c r="AE256" s="683"/>
      <c r="AF256" s="1457"/>
      <c r="AG256" s="1458"/>
      <c r="AH256" s="1458"/>
      <c r="AI256" s="1457"/>
      <c r="AJ256" s="1458"/>
      <c r="AK256" s="1458"/>
      <c r="AL256" s="71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1.25" customHeight="1">
      <c r="A257" s="303" t="s">
        <v>1032</v>
      </c>
      <c r="B257" s="303" t="s">
        <v>1100</v>
      </c>
      <c r="E257" s="10"/>
      <c r="F257" s="1446"/>
      <c r="G257" s="1182" t="s">
        <v>122</v>
      </c>
      <c r="H257" s="1442" t="s">
        <v>91</v>
      </c>
      <c r="I257" s="1454" t="s">
        <v>1101</v>
      </c>
      <c r="J257" s="1455" t="s">
        <v>1102</v>
      </c>
      <c r="K257" s="1456" t="s">
        <v>1105</v>
      </c>
      <c r="L257" s="1169" t="s">
        <v>19</v>
      </c>
      <c r="M257" s="1170"/>
      <c r="N257" s="1053"/>
      <c r="O257" s="677" t="s">
        <v>382</v>
      </c>
      <c r="P257" s="678"/>
      <c r="Q257" s="678"/>
      <c r="R257" s="678"/>
      <c r="S257" s="678"/>
      <c r="T257" s="678"/>
      <c r="U257" s="678"/>
      <c r="V257" s="678"/>
      <c r="W257" s="678"/>
      <c r="X257" s="678"/>
      <c r="Y257" s="678"/>
      <c r="Z257" s="678"/>
      <c r="AA257" s="678"/>
      <c r="AB257" s="678"/>
      <c r="AC257" s="678"/>
      <c r="AD257" s="678"/>
      <c r="AE257" s="678"/>
      <c r="AF257" s="1457">
        <v>2024</v>
      </c>
      <c r="AG257" s="1458" t="s">
        <v>1070</v>
      </c>
      <c r="AH257" s="1458" t="s">
        <v>1106</v>
      </c>
      <c r="AI257" s="1457">
        <v>2024</v>
      </c>
      <c r="AJ257" s="1458" t="s">
        <v>1070</v>
      </c>
      <c r="AK257" s="1458" t="s">
        <v>1106</v>
      </c>
      <c r="AL257" s="71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11.25" customHeight="1">
      <c r="A258" s="303" t="s">
        <v>1032</v>
      </c>
      <c r="E258" s="10"/>
      <c r="F258" s="1446"/>
      <c r="G258" s="1447"/>
      <c r="H258" s="1442" t="s">
        <v>90</v>
      </c>
      <c r="I258" s="1454"/>
      <c r="J258" s="1455"/>
      <c r="K258" s="1456"/>
      <c r="L258" s="1169"/>
      <c r="M258" s="1170"/>
      <c r="N258" s="1459"/>
      <c r="O258" s="1460">
        <v>1</v>
      </c>
      <c r="P258" s="1461" t="s">
        <v>62</v>
      </c>
      <c r="Q258" s="1455" t="s">
        <v>1071</v>
      </c>
      <c r="R258" s="1464" t="s">
        <v>1072</v>
      </c>
      <c r="S258" s="1464" t="s">
        <v>100</v>
      </c>
      <c r="T258" s="1464" t="s">
        <v>100</v>
      </c>
      <c r="U258" s="1464" t="s">
        <v>101</v>
      </c>
      <c r="V258" s="1464" t="s">
        <v>1073</v>
      </c>
      <c r="W258" s="1464" t="s">
        <v>1074</v>
      </c>
      <c r="X258" s="1464" t="s">
        <v>1075</v>
      </c>
      <c r="Y258" s="1464" t="s">
        <v>1076</v>
      </c>
      <c r="Z258" s="675"/>
      <c r="AA258" s="676"/>
      <c r="AB258" s="676"/>
      <c r="AC258" s="680"/>
      <c r="AD258" s="680"/>
      <c r="AE258" s="681"/>
      <c r="AF258" s="1457"/>
      <c r="AG258" s="1458"/>
      <c r="AH258" s="1458"/>
      <c r="AI258" s="1457"/>
      <c r="AJ258" s="1458"/>
      <c r="AK258" s="1458"/>
      <c r="AL258" s="71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32.25" customHeight="1">
      <c r="A259" s="303" t="s">
        <v>1032</v>
      </c>
      <c r="E259" s="10"/>
      <c r="F259" s="1446"/>
      <c r="G259" s="1447"/>
      <c r="H259" s="1442" t="s">
        <v>90</v>
      </c>
      <c r="I259" s="1454"/>
      <c r="J259" s="1455"/>
      <c r="K259" s="1456"/>
      <c r="L259" s="1169"/>
      <c r="M259" s="1170"/>
      <c r="N259" s="1459"/>
      <c r="O259" s="1460"/>
      <c r="P259" s="1462"/>
      <c r="Q259" s="1455"/>
      <c r="R259" s="1415"/>
      <c r="S259" s="1464"/>
      <c r="T259" s="1415"/>
      <c r="U259" s="1415"/>
      <c r="V259" s="1415"/>
      <c r="W259" s="1415"/>
      <c r="X259" s="1415"/>
      <c r="Y259" s="1415"/>
      <c r="Z259" s="987"/>
      <c r="AA259" s="978">
        <v>1</v>
      </c>
      <c r="AB259" s="679" t="s">
        <v>1088</v>
      </c>
      <c r="AC259" s="380">
        <v>6728.8</v>
      </c>
      <c r="AD259" s="679" t="str">
        <f>AB259</f>
        <v xml:space="preserve">     Амортизационные отчисления за исключением переоценки основных средств и нематериальных активов</v>
      </c>
      <c r="AE259" s="380">
        <v>6728.8</v>
      </c>
      <c r="AF259" s="1457"/>
      <c r="AG259" s="1458"/>
      <c r="AH259" s="1458"/>
      <c r="AI259" s="1457"/>
      <c r="AJ259" s="1458"/>
      <c r="AK259" s="1458"/>
      <c r="AL259" s="71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1.25" customHeight="1">
      <c r="A260" s="303" t="s">
        <v>1032</v>
      </c>
      <c r="E260" s="10"/>
      <c r="F260" s="1446"/>
      <c r="G260" s="1447"/>
      <c r="H260" s="1442" t="s">
        <v>90</v>
      </c>
      <c r="I260" s="1454"/>
      <c r="J260" s="1455"/>
      <c r="K260" s="1456"/>
      <c r="L260" s="1169"/>
      <c r="M260" s="1170"/>
      <c r="N260" s="1459"/>
      <c r="O260" s="1460"/>
      <c r="P260" s="1463"/>
      <c r="Q260" s="1455"/>
      <c r="R260" s="1415"/>
      <c r="S260" s="1464"/>
      <c r="T260" s="1415"/>
      <c r="U260" s="1415"/>
      <c r="V260" s="1415"/>
      <c r="W260" s="1415"/>
      <c r="X260" s="1415"/>
      <c r="Y260" s="1415"/>
      <c r="Z260" s="675"/>
      <c r="AA260" s="676"/>
      <c r="AB260" s="110" t="s">
        <v>1078</v>
      </c>
      <c r="AC260" s="680"/>
      <c r="AD260" s="680"/>
      <c r="AE260" s="682"/>
      <c r="AF260" s="1457"/>
      <c r="AG260" s="1458"/>
      <c r="AH260" s="1458"/>
      <c r="AI260" s="1457"/>
      <c r="AJ260" s="1458"/>
      <c r="AK260" s="1458"/>
      <c r="AL260" s="71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1.25" customHeight="1">
      <c r="A261" s="303" t="s">
        <v>1032</v>
      </c>
      <c r="E261" s="10"/>
      <c r="F261" s="1446"/>
      <c r="G261" s="1447"/>
      <c r="H261" s="1442" t="s">
        <v>90</v>
      </c>
      <c r="I261" s="1454"/>
      <c r="J261" s="1455"/>
      <c r="K261" s="1456"/>
      <c r="L261" s="1169"/>
      <c r="M261" s="1170"/>
      <c r="N261" s="675"/>
      <c r="O261" s="676"/>
      <c r="P261" s="110" t="s">
        <v>1079</v>
      </c>
      <c r="Q261" s="676"/>
      <c r="R261" s="676"/>
      <c r="S261" s="676"/>
      <c r="T261" s="676"/>
      <c r="U261" s="676"/>
      <c r="V261" s="676"/>
      <c r="W261" s="676"/>
      <c r="X261" s="676"/>
      <c r="Y261" s="676"/>
      <c r="Z261" s="676"/>
      <c r="AA261" s="676"/>
      <c r="AB261" s="676"/>
      <c r="AC261" s="676"/>
      <c r="AD261" s="676"/>
      <c r="AE261" s="683"/>
      <c r="AF261" s="1457"/>
      <c r="AG261" s="1458"/>
      <c r="AH261" s="1458"/>
      <c r="AI261" s="1457"/>
      <c r="AJ261" s="1458"/>
      <c r="AK261" s="1458"/>
      <c r="AL261" s="71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1.25" customHeight="1">
      <c r="A262" s="303" t="s">
        <v>1032</v>
      </c>
      <c r="B262" s="303" t="s">
        <v>1100</v>
      </c>
      <c r="E262" s="10"/>
      <c r="F262" s="1446"/>
      <c r="G262" s="1182" t="s">
        <v>122</v>
      </c>
      <c r="H262" s="1442" t="s">
        <v>111</v>
      </c>
      <c r="I262" s="1454" t="s">
        <v>1101</v>
      </c>
      <c r="J262" s="1455" t="s">
        <v>1102</v>
      </c>
      <c r="K262" s="1456" t="s">
        <v>1170</v>
      </c>
      <c r="L262" s="1169" t="s">
        <v>19</v>
      </c>
      <c r="M262" s="1170"/>
      <c r="N262" s="1053"/>
      <c r="O262" s="677" t="s">
        <v>382</v>
      </c>
      <c r="P262" s="678"/>
      <c r="Q262" s="678"/>
      <c r="R262" s="678"/>
      <c r="S262" s="678"/>
      <c r="T262" s="678"/>
      <c r="U262" s="678"/>
      <c r="V262" s="678"/>
      <c r="W262" s="678"/>
      <c r="X262" s="678"/>
      <c r="Y262" s="678"/>
      <c r="Z262" s="678"/>
      <c r="AA262" s="678"/>
      <c r="AB262" s="678"/>
      <c r="AC262" s="678"/>
      <c r="AD262" s="678"/>
      <c r="AE262" s="678"/>
      <c r="AF262" s="1457">
        <v>2024</v>
      </c>
      <c r="AG262" s="1458" t="s">
        <v>1081</v>
      </c>
      <c r="AH262" s="1458" t="s">
        <v>1122</v>
      </c>
      <c r="AI262" s="1457">
        <v>2025</v>
      </c>
      <c r="AJ262" s="1458" t="s">
        <v>1115</v>
      </c>
      <c r="AK262" s="1458" t="s">
        <v>1122</v>
      </c>
      <c r="AL262" s="71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1.25" customHeight="1">
      <c r="A263" s="303" t="s">
        <v>1032</v>
      </c>
      <c r="E263" s="10"/>
      <c r="F263" s="1446"/>
      <c r="G263" s="1447"/>
      <c r="H263" s="1442" t="s">
        <v>91</v>
      </c>
      <c r="I263" s="1454"/>
      <c r="J263" s="1455"/>
      <c r="K263" s="1456"/>
      <c r="L263" s="1169"/>
      <c r="M263" s="1170"/>
      <c r="N263" s="1459"/>
      <c r="O263" s="1460">
        <v>1</v>
      </c>
      <c r="P263" s="1461" t="s">
        <v>62</v>
      </c>
      <c r="Q263" s="1455" t="s">
        <v>1085</v>
      </c>
      <c r="R263" s="1464" t="s">
        <v>1072</v>
      </c>
      <c r="S263" s="1464" t="s">
        <v>100</v>
      </c>
      <c r="T263" s="1464" t="s">
        <v>100</v>
      </c>
      <c r="U263" s="1464" t="s">
        <v>101</v>
      </c>
      <c r="V263" s="1464" t="s">
        <v>1073</v>
      </c>
      <c r="W263" s="1464" t="s">
        <v>1074</v>
      </c>
      <c r="X263" s="1464" t="s">
        <v>1086</v>
      </c>
      <c r="Y263" s="1464" t="s">
        <v>1087</v>
      </c>
      <c r="Z263" s="675"/>
      <c r="AA263" s="676"/>
      <c r="AB263" s="676"/>
      <c r="AC263" s="680"/>
      <c r="AD263" s="680"/>
      <c r="AE263" s="681"/>
      <c r="AF263" s="1457"/>
      <c r="AG263" s="1458"/>
      <c r="AH263" s="1458"/>
      <c r="AI263" s="1457"/>
      <c r="AJ263" s="1458"/>
      <c r="AK263" s="1458"/>
      <c r="AL263" s="71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32.25" customHeight="1">
      <c r="A264" s="303" t="s">
        <v>1032</v>
      </c>
      <c r="E264" s="10"/>
      <c r="F264" s="1446"/>
      <c r="G264" s="1447"/>
      <c r="H264" s="1442" t="s">
        <v>91</v>
      </c>
      <c r="I264" s="1454"/>
      <c r="J264" s="1455"/>
      <c r="K264" s="1456"/>
      <c r="L264" s="1169"/>
      <c r="M264" s="1170"/>
      <c r="N264" s="1459"/>
      <c r="O264" s="1460"/>
      <c r="P264" s="1462"/>
      <c r="Q264" s="1455"/>
      <c r="R264" s="1415"/>
      <c r="S264" s="1464"/>
      <c r="T264" s="1415"/>
      <c r="U264" s="1415"/>
      <c r="V264" s="1415"/>
      <c r="W264" s="1415"/>
      <c r="X264" s="1415"/>
      <c r="Y264" s="1415"/>
      <c r="Z264" s="987"/>
      <c r="AA264" s="978">
        <v>1</v>
      </c>
      <c r="AB264" s="679" t="s">
        <v>1088</v>
      </c>
      <c r="AC264" s="380">
        <v>5803.77</v>
      </c>
      <c r="AD264" s="679" t="str">
        <f>AB264</f>
        <v xml:space="preserve">     Амортизационные отчисления за исключением переоценки основных средств и нематериальных активов</v>
      </c>
      <c r="AE264" s="380">
        <v>708.9</v>
      </c>
      <c r="AF264" s="1457"/>
      <c r="AG264" s="1458"/>
      <c r="AH264" s="1458"/>
      <c r="AI264" s="1457"/>
      <c r="AJ264" s="1458"/>
      <c r="AK264" s="1458"/>
      <c r="AL264" s="71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1.25" customHeight="1">
      <c r="A265" s="303" t="s">
        <v>1032</v>
      </c>
      <c r="E265" s="10"/>
      <c r="F265" s="1446"/>
      <c r="G265" s="1447"/>
      <c r="H265" s="1442" t="s">
        <v>91</v>
      </c>
      <c r="I265" s="1454"/>
      <c r="J265" s="1455"/>
      <c r="K265" s="1456"/>
      <c r="L265" s="1169"/>
      <c r="M265" s="1170"/>
      <c r="N265" s="1459"/>
      <c r="O265" s="1460"/>
      <c r="P265" s="1463"/>
      <c r="Q265" s="1455"/>
      <c r="R265" s="1415"/>
      <c r="S265" s="1464"/>
      <c r="T265" s="1415"/>
      <c r="U265" s="1415"/>
      <c r="V265" s="1415"/>
      <c r="W265" s="1415"/>
      <c r="X265" s="1415"/>
      <c r="Y265" s="1415"/>
      <c r="Z265" s="675"/>
      <c r="AA265" s="676"/>
      <c r="AB265" s="110" t="s">
        <v>1078</v>
      </c>
      <c r="AC265" s="680"/>
      <c r="AD265" s="680"/>
      <c r="AE265" s="682"/>
      <c r="AF265" s="1457"/>
      <c r="AG265" s="1458"/>
      <c r="AH265" s="1458"/>
      <c r="AI265" s="1457"/>
      <c r="AJ265" s="1458"/>
      <c r="AK265" s="1458"/>
      <c r="AL265" s="71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1.25" customHeight="1">
      <c r="A266" s="303" t="s">
        <v>1032</v>
      </c>
      <c r="E266" s="10"/>
      <c r="F266" s="1446"/>
      <c r="G266" s="1447"/>
      <c r="H266" s="1447"/>
      <c r="I266" s="1467"/>
      <c r="J266" s="1467"/>
      <c r="K266" s="1473"/>
      <c r="L266" s="1467"/>
      <c r="M266" s="1447"/>
      <c r="N266" s="1182" t="s">
        <v>122</v>
      </c>
      <c r="O266" s="1483" t="s">
        <v>110</v>
      </c>
      <c r="P266" s="1461" t="s">
        <v>62</v>
      </c>
      <c r="Q266" s="1455" t="s">
        <v>1171</v>
      </c>
      <c r="R266" s="1464" t="s">
        <v>1072</v>
      </c>
      <c r="S266" s="1464" t="s">
        <v>100</v>
      </c>
      <c r="T266" s="1464" t="s">
        <v>100</v>
      </c>
      <c r="U266" s="1464" t="s">
        <v>101</v>
      </c>
      <c r="V266" s="1464" t="s">
        <v>1073</v>
      </c>
      <c r="W266" s="1464" t="s">
        <v>1074</v>
      </c>
      <c r="X266" s="1464" t="s">
        <v>1172</v>
      </c>
      <c r="Y266" s="1464" t="s">
        <v>1173</v>
      </c>
      <c r="Z266" s="675"/>
      <c r="AA266" s="676"/>
      <c r="AB266" s="676"/>
      <c r="AC266" s="680"/>
      <c r="AD266" s="680"/>
      <c r="AE266" s="680"/>
      <c r="AF266" s="1474"/>
      <c r="AG266" s="1477"/>
      <c r="AH266" s="1477"/>
      <c r="AI266" s="1474"/>
      <c r="AJ266" s="1477"/>
      <c r="AK266" s="1478"/>
      <c r="AL266" s="71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32.25" customHeight="1">
      <c r="A267" s="303" t="s">
        <v>1032</v>
      </c>
      <c r="E267" s="10"/>
      <c r="F267" s="1446"/>
      <c r="G267" s="1447"/>
      <c r="H267" s="1447"/>
      <c r="I267" s="1468"/>
      <c r="J267" s="1468"/>
      <c r="K267" s="1473"/>
      <c r="L267" s="1468"/>
      <c r="M267" s="1447"/>
      <c r="N267" s="1459"/>
      <c r="O267" s="1483">
        <v>1</v>
      </c>
      <c r="P267" s="1462"/>
      <c r="Q267" s="1455"/>
      <c r="R267" s="1415"/>
      <c r="S267" s="1464"/>
      <c r="T267" s="1415"/>
      <c r="U267" s="1415"/>
      <c r="V267" s="1415"/>
      <c r="W267" s="1415"/>
      <c r="X267" s="1415"/>
      <c r="Y267" s="1415"/>
      <c r="Z267" s="987"/>
      <c r="AA267" s="978">
        <v>1</v>
      </c>
      <c r="AB267" s="679" t="s">
        <v>1088</v>
      </c>
      <c r="AC267" s="380">
        <v>5803.76</v>
      </c>
      <c r="AD267" s="679" t="str">
        <f>AB267</f>
        <v xml:space="preserve">     Амортизационные отчисления за исключением переоценки основных средств и нематериальных активов</v>
      </c>
      <c r="AE267" s="421">
        <v>708.89</v>
      </c>
      <c r="AF267" s="1475"/>
      <c r="AG267" s="1477"/>
      <c r="AH267" s="1477"/>
      <c r="AI267" s="1475"/>
      <c r="AJ267" s="1477"/>
      <c r="AK267" s="1478"/>
      <c r="AL267" s="71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1.25" customHeight="1">
      <c r="A268" s="303" t="s">
        <v>1032</v>
      </c>
      <c r="E268" s="10"/>
      <c r="F268" s="1446"/>
      <c r="G268" s="1447"/>
      <c r="H268" s="1447"/>
      <c r="I268" s="1469"/>
      <c r="J268" s="1469"/>
      <c r="K268" s="1473"/>
      <c r="L268" s="1469"/>
      <c r="M268" s="1447"/>
      <c r="N268" s="1459"/>
      <c r="O268" s="1483">
        <v>1</v>
      </c>
      <c r="P268" s="1463"/>
      <c r="Q268" s="1455"/>
      <c r="R268" s="1415"/>
      <c r="S268" s="1464"/>
      <c r="T268" s="1415"/>
      <c r="U268" s="1415"/>
      <c r="V268" s="1415"/>
      <c r="W268" s="1415"/>
      <c r="X268" s="1415"/>
      <c r="Y268" s="1415"/>
      <c r="Z268" s="675"/>
      <c r="AA268" s="676"/>
      <c r="AB268" s="110" t="s">
        <v>1078</v>
      </c>
      <c r="AC268" s="680"/>
      <c r="AD268" s="680"/>
      <c r="AE268" s="680"/>
      <c r="AF268" s="1476"/>
      <c r="AG268" s="1477"/>
      <c r="AH268" s="1477"/>
      <c r="AI268" s="1476"/>
      <c r="AJ268" s="1477"/>
      <c r="AK268" s="1478"/>
      <c r="AL268" s="71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1.25" customHeight="1">
      <c r="A269" s="303" t="s">
        <v>1032</v>
      </c>
      <c r="E269" s="10"/>
      <c r="F269" s="1446"/>
      <c r="G269" s="1447"/>
      <c r="H269" s="1442" t="s">
        <v>91</v>
      </c>
      <c r="I269" s="1454"/>
      <c r="J269" s="1455"/>
      <c r="K269" s="1456"/>
      <c r="L269" s="1169"/>
      <c r="M269" s="1170"/>
      <c r="N269" s="675"/>
      <c r="O269" s="676"/>
      <c r="P269" s="110" t="s">
        <v>1079</v>
      </c>
      <c r="Q269" s="676"/>
      <c r="R269" s="676"/>
      <c r="S269" s="676"/>
      <c r="T269" s="676"/>
      <c r="U269" s="676"/>
      <c r="V269" s="676"/>
      <c r="W269" s="676"/>
      <c r="X269" s="676"/>
      <c r="Y269" s="676"/>
      <c r="Z269" s="676"/>
      <c r="AA269" s="676"/>
      <c r="AB269" s="676"/>
      <c r="AC269" s="676"/>
      <c r="AD269" s="676"/>
      <c r="AE269" s="683"/>
      <c r="AF269" s="1457"/>
      <c r="AG269" s="1458"/>
      <c r="AH269" s="1458"/>
      <c r="AI269" s="1457"/>
      <c r="AJ269" s="1458"/>
      <c r="AK269" s="1458"/>
      <c r="AL269" s="71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1.25" customHeight="1">
      <c r="A270" s="303" t="s">
        <v>1032</v>
      </c>
      <c r="B270" s="303" t="s">
        <v>1100</v>
      </c>
      <c r="E270" s="10"/>
      <c r="F270" s="1446"/>
      <c r="G270" s="1182" t="s">
        <v>122</v>
      </c>
      <c r="H270" s="1442" t="s">
        <v>92</v>
      </c>
      <c r="I270" s="1454" t="s">
        <v>1101</v>
      </c>
      <c r="J270" s="1455" t="s">
        <v>1102</v>
      </c>
      <c r="K270" s="1456" t="s">
        <v>1114</v>
      </c>
      <c r="L270" s="1169" t="s">
        <v>19</v>
      </c>
      <c r="M270" s="1170"/>
      <c r="N270" s="1053"/>
      <c r="O270" s="677" t="s">
        <v>382</v>
      </c>
      <c r="P270" s="678"/>
      <c r="Q270" s="678"/>
      <c r="R270" s="678"/>
      <c r="S270" s="678"/>
      <c r="T270" s="678"/>
      <c r="U270" s="678"/>
      <c r="V270" s="678"/>
      <c r="W270" s="678"/>
      <c r="X270" s="678"/>
      <c r="Y270" s="678"/>
      <c r="Z270" s="678"/>
      <c r="AA270" s="678"/>
      <c r="AB270" s="678"/>
      <c r="AC270" s="678"/>
      <c r="AD270" s="678"/>
      <c r="AE270" s="678"/>
      <c r="AF270" s="1457">
        <v>2024</v>
      </c>
      <c r="AG270" s="1458" t="s">
        <v>1115</v>
      </c>
      <c r="AH270" s="1458" t="s">
        <v>1106</v>
      </c>
      <c r="AI270" s="1457">
        <v>2024</v>
      </c>
      <c r="AJ270" s="1458" t="s">
        <v>1115</v>
      </c>
      <c r="AK270" s="1458" t="s">
        <v>1106</v>
      </c>
      <c r="AL270" s="71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1.25" customHeight="1">
      <c r="A271" s="303" t="s">
        <v>1032</v>
      </c>
      <c r="E271" s="10"/>
      <c r="F271" s="1446"/>
      <c r="G271" s="1447"/>
      <c r="H271" s="1442" t="s">
        <v>111</v>
      </c>
      <c r="I271" s="1454"/>
      <c r="J271" s="1455"/>
      <c r="K271" s="1456"/>
      <c r="L271" s="1169"/>
      <c r="M271" s="1170"/>
      <c r="N271" s="1459"/>
      <c r="O271" s="1460">
        <v>1</v>
      </c>
      <c r="P271" s="1461" t="s">
        <v>62</v>
      </c>
      <c r="Q271" s="1455" t="s">
        <v>1085</v>
      </c>
      <c r="R271" s="1464" t="s">
        <v>1072</v>
      </c>
      <c r="S271" s="1464" t="s">
        <v>100</v>
      </c>
      <c r="T271" s="1464" t="s">
        <v>100</v>
      </c>
      <c r="U271" s="1464" t="s">
        <v>101</v>
      </c>
      <c r="V271" s="1464" t="s">
        <v>1073</v>
      </c>
      <c r="W271" s="1464" t="s">
        <v>1074</v>
      </c>
      <c r="X271" s="1464" t="s">
        <v>1086</v>
      </c>
      <c r="Y271" s="1464" t="s">
        <v>1087</v>
      </c>
      <c r="Z271" s="675"/>
      <c r="AA271" s="676"/>
      <c r="AB271" s="676"/>
      <c r="AC271" s="680"/>
      <c r="AD271" s="680"/>
      <c r="AE271" s="681"/>
      <c r="AF271" s="1457"/>
      <c r="AG271" s="1458"/>
      <c r="AH271" s="1458"/>
      <c r="AI271" s="1457"/>
      <c r="AJ271" s="1458"/>
      <c r="AK271" s="1458"/>
      <c r="AL271" s="71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32.25" customHeight="1">
      <c r="A272" s="303" t="s">
        <v>1032</v>
      </c>
      <c r="E272" s="10"/>
      <c r="F272" s="1446"/>
      <c r="G272" s="1447"/>
      <c r="H272" s="1442" t="s">
        <v>111</v>
      </c>
      <c r="I272" s="1454"/>
      <c r="J272" s="1455"/>
      <c r="K272" s="1456"/>
      <c r="L272" s="1169"/>
      <c r="M272" s="1170"/>
      <c r="N272" s="1459"/>
      <c r="O272" s="1460"/>
      <c r="P272" s="1462"/>
      <c r="Q272" s="1455"/>
      <c r="R272" s="1415"/>
      <c r="S272" s="1464"/>
      <c r="T272" s="1415"/>
      <c r="U272" s="1415"/>
      <c r="V272" s="1415"/>
      <c r="W272" s="1415"/>
      <c r="X272" s="1415"/>
      <c r="Y272" s="1415"/>
      <c r="Z272" s="987"/>
      <c r="AA272" s="978">
        <v>1</v>
      </c>
      <c r="AB272" s="679" t="s">
        <v>1088</v>
      </c>
      <c r="AC272" s="380">
        <v>19312.599999999999</v>
      </c>
      <c r="AD272" s="679" t="str">
        <f>AB272</f>
        <v xml:space="preserve">     Амортизационные отчисления за исключением переоценки основных средств и нематериальных активов</v>
      </c>
      <c r="AE272" s="380">
        <v>19312.599999999999</v>
      </c>
      <c r="AF272" s="1457"/>
      <c r="AG272" s="1458"/>
      <c r="AH272" s="1458"/>
      <c r="AI272" s="1457"/>
      <c r="AJ272" s="1458"/>
      <c r="AK272" s="1458"/>
      <c r="AL272" s="71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1.25" customHeight="1">
      <c r="A273" s="303" t="s">
        <v>1032</v>
      </c>
      <c r="E273" s="10"/>
      <c r="F273" s="1446"/>
      <c r="G273" s="1447"/>
      <c r="H273" s="1442" t="s">
        <v>111</v>
      </c>
      <c r="I273" s="1454"/>
      <c r="J273" s="1455"/>
      <c r="K273" s="1456"/>
      <c r="L273" s="1169"/>
      <c r="M273" s="1170"/>
      <c r="N273" s="1459"/>
      <c r="O273" s="1460"/>
      <c r="P273" s="1463"/>
      <c r="Q273" s="1455"/>
      <c r="R273" s="1415"/>
      <c r="S273" s="1464"/>
      <c r="T273" s="1415"/>
      <c r="U273" s="1415"/>
      <c r="V273" s="1415"/>
      <c r="W273" s="1415"/>
      <c r="X273" s="1415"/>
      <c r="Y273" s="1415"/>
      <c r="Z273" s="675"/>
      <c r="AA273" s="676"/>
      <c r="AB273" s="110" t="s">
        <v>1078</v>
      </c>
      <c r="AC273" s="680"/>
      <c r="AD273" s="680"/>
      <c r="AE273" s="682"/>
      <c r="AF273" s="1457"/>
      <c r="AG273" s="1458"/>
      <c r="AH273" s="1458"/>
      <c r="AI273" s="1457"/>
      <c r="AJ273" s="1458"/>
      <c r="AK273" s="1458"/>
      <c r="AL273" s="71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1.25" customHeight="1">
      <c r="A274" s="303" t="s">
        <v>1032</v>
      </c>
      <c r="E274" s="10"/>
      <c r="F274" s="1446"/>
      <c r="G274" s="1447"/>
      <c r="H274" s="1442" t="s">
        <v>111</v>
      </c>
      <c r="I274" s="1454"/>
      <c r="J274" s="1455"/>
      <c r="K274" s="1456"/>
      <c r="L274" s="1169"/>
      <c r="M274" s="1170"/>
      <c r="N274" s="675"/>
      <c r="O274" s="676"/>
      <c r="P274" s="110" t="s">
        <v>1079</v>
      </c>
      <c r="Q274" s="676"/>
      <c r="R274" s="676"/>
      <c r="S274" s="676"/>
      <c r="T274" s="676"/>
      <c r="U274" s="676"/>
      <c r="V274" s="676"/>
      <c r="W274" s="676"/>
      <c r="X274" s="676"/>
      <c r="Y274" s="676"/>
      <c r="Z274" s="676"/>
      <c r="AA274" s="676"/>
      <c r="AB274" s="676"/>
      <c r="AC274" s="676"/>
      <c r="AD274" s="676"/>
      <c r="AE274" s="683"/>
      <c r="AF274" s="1457"/>
      <c r="AG274" s="1458"/>
      <c r="AH274" s="1458"/>
      <c r="AI274" s="1457"/>
      <c r="AJ274" s="1458"/>
      <c r="AK274" s="1458"/>
      <c r="AL274" s="71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1.25" customHeight="1">
      <c r="A275" s="303" t="s">
        <v>1032</v>
      </c>
      <c r="B275" s="303" t="s">
        <v>1100</v>
      </c>
      <c r="E275" s="10"/>
      <c r="F275" s="1446"/>
      <c r="G275" s="1182" t="s">
        <v>122</v>
      </c>
      <c r="H275" s="1442" t="s">
        <v>93</v>
      </c>
      <c r="I275" s="1454" t="s">
        <v>1101</v>
      </c>
      <c r="J275" s="1455" t="s">
        <v>1102</v>
      </c>
      <c r="K275" s="1456" t="s">
        <v>1174</v>
      </c>
      <c r="L275" s="1169" t="s">
        <v>19</v>
      </c>
      <c r="M275" s="1170"/>
      <c r="N275" s="1053"/>
      <c r="O275" s="677" t="s">
        <v>382</v>
      </c>
      <c r="P275" s="678"/>
      <c r="Q275" s="678"/>
      <c r="R275" s="678"/>
      <c r="S275" s="678"/>
      <c r="T275" s="678"/>
      <c r="U275" s="678"/>
      <c r="V275" s="678"/>
      <c r="W275" s="678"/>
      <c r="X275" s="678"/>
      <c r="Y275" s="678"/>
      <c r="Z275" s="678"/>
      <c r="AA275" s="678"/>
      <c r="AB275" s="678"/>
      <c r="AC275" s="678"/>
      <c r="AD275" s="678"/>
      <c r="AE275" s="678"/>
      <c r="AF275" s="1457">
        <v>2024</v>
      </c>
      <c r="AG275" s="1458" t="s">
        <v>1081</v>
      </c>
      <c r="AH275" s="1458" t="s">
        <v>1106</v>
      </c>
      <c r="AI275" s="1457">
        <v>2024</v>
      </c>
      <c r="AJ275" s="1458" t="s">
        <v>1081</v>
      </c>
      <c r="AK275" s="1458" t="s">
        <v>1106</v>
      </c>
      <c r="AL275" s="71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1.25" customHeight="1">
      <c r="A276" s="303" t="s">
        <v>1032</v>
      </c>
      <c r="E276" s="10"/>
      <c r="F276" s="1446"/>
      <c r="G276" s="1447"/>
      <c r="H276" s="1442" t="s">
        <v>92</v>
      </c>
      <c r="I276" s="1454"/>
      <c r="J276" s="1455"/>
      <c r="K276" s="1456"/>
      <c r="L276" s="1169"/>
      <c r="M276" s="1170"/>
      <c r="N276" s="1459"/>
      <c r="O276" s="1460">
        <v>1</v>
      </c>
      <c r="P276" s="1461" t="s">
        <v>62</v>
      </c>
      <c r="Q276" s="1455" t="s">
        <v>1085</v>
      </c>
      <c r="R276" s="1464" t="s">
        <v>1072</v>
      </c>
      <c r="S276" s="1464" t="s">
        <v>100</v>
      </c>
      <c r="T276" s="1464" t="s">
        <v>100</v>
      </c>
      <c r="U276" s="1464" t="s">
        <v>101</v>
      </c>
      <c r="V276" s="1464" t="s">
        <v>1073</v>
      </c>
      <c r="W276" s="1464" t="s">
        <v>1074</v>
      </c>
      <c r="X276" s="1464" t="s">
        <v>1086</v>
      </c>
      <c r="Y276" s="1464" t="s">
        <v>1087</v>
      </c>
      <c r="Z276" s="675"/>
      <c r="AA276" s="676"/>
      <c r="AB276" s="676"/>
      <c r="AC276" s="680"/>
      <c r="AD276" s="680"/>
      <c r="AE276" s="681"/>
      <c r="AF276" s="1457"/>
      <c r="AG276" s="1458"/>
      <c r="AH276" s="1458"/>
      <c r="AI276" s="1457"/>
      <c r="AJ276" s="1458"/>
      <c r="AK276" s="1458"/>
      <c r="AL276" s="71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45" customHeight="1">
      <c r="A277" s="303" t="s">
        <v>1032</v>
      </c>
      <c r="E277" s="10"/>
      <c r="F277" s="1446"/>
      <c r="G277" s="1447"/>
      <c r="H277" s="1442" t="s">
        <v>92</v>
      </c>
      <c r="I277" s="1454"/>
      <c r="J277" s="1455"/>
      <c r="K277" s="1456"/>
      <c r="L277" s="1169"/>
      <c r="M277" s="1170"/>
      <c r="N277" s="1459"/>
      <c r="O277" s="1460"/>
      <c r="P277" s="1462"/>
      <c r="Q277" s="1455"/>
      <c r="R277" s="1415"/>
      <c r="S277" s="1464"/>
      <c r="T277" s="1415"/>
      <c r="U277" s="1415"/>
      <c r="V277" s="1415"/>
      <c r="W277" s="1415"/>
      <c r="X277" s="1415"/>
      <c r="Y277" s="1415"/>
      <c r="Z277" s="987"/>
      <c r="AA277" s="978">
        <v>1</v>
      </c>
      <c r="AB277" s="679" t="s">
        <v>1088</v>
      </c>
      <c r="AC277" s="380">
        <v>7329.94</v>
      </c>
      <c r="AD277" s="679" t="str">
        <f>AB277</f>
        <v xml:space="preserve">     Амортизационные отчисления за исключением переоценки основных средств и нематериальных активов</v>
      </c>
      <c r="AE277" s="380">
        <v>7329.94</v>
      </c>
      <c r="AF277" s="1457"/>
      <c r="AG277" s="1458"/>
      <c r="AH277" s="1458"/>
      <c r="AI277" s="1457"/>
      <c r="AJ277" s="1458"/>
      <c r="AK277" s="1458"/>
      <c r="AL277" s="71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1.25" customHeight="1">
      <c r="A278" s="303" t="s">
        <v>1032</v>
      </c>
      <c r="E278" s="10"/>
      <c r="F278" s="1446"/>
      <c r="G278" s="1447"/>
      <c r="H278" s="1442" t="s">
        <v>92</v>
      </c>
      <c r="I278" s="1454"/>
      <c r="J278" s="1455"/>
      <c r="K278" s="1456"/>
      <c r="L278" s="1169"/>
      <c r="M278" s="1170"/>
      <c r="N278" s="1459"/>
      <c r="O278" s="1460"/>
      <c r="P278" s="1463"/>
      <c r="Q278" s="1455"/>
      <c r="R278" s="1415"/>
      <c r="S278" s="1464"/>
      <c r="T278" s="1415"/>
      <c r="U278" s="1415"/>
      <c r="V278" s="1415"/>
      <c r="W278" s="1415"/>
      <c r="X278" s="1415"/>
      <c r="Y278" s="1415"/>
      <c r="Z278" s="675"/>
      <c r="AA278" s="676"/>
      <c r="AB278" s="110" t="s">
        <v>1078</v>
      </c>
      <c r="AC278" s="680"/>
      <c r="AD278" s="680"/>
      <c r="AE278" s="682"/>
      <c r="AF278" s="1457"/>
      <c r="AG278" s="1458"/>
      <c r="AH278" s="1458"/>
      <c r="AI278" s="1457"/>
      <c r="AJ278" s="1458"/>
      <c r="AK278" s="1458"/>
      <c r="AL278" s="71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1.25" customHeight="1">
      <c r="A279" s="303" t="s">
        <v>1032</v>
      </c>
      <c r="E279" s="10"/>
      <c r="F279" s="1446"/>
      <c r="G279" s="1447"/>
      <c r="H279" s="1442" t="s">
        <v>92</v>
      </c>
      <c r="I279" s="1454"/>
      <c r="J279" s="1455"/>
      <c r="K279" s="1456"/>
      <c r="L279" s="1169"/>
      <c r="M279" s="1170"/>
      <c r="N279" s="675"/>
      <c r="O279" s="676"/>
      <c r="P279" s="110" t="s">
        <v>1079</v>
      </c>
      <c r="Q279" s="676"/>
      <c r="R279" s="676"/>
      <c r="S279" s="676"/>
      <c r="T279" s="676"/>
      <c r="U279" s="676"/>
      <c r="V279" s="676"/>
      <c r="W279" s="676"/>
      <c r="X279" s="676"/>
      <c r="Y279" s="676"/>
      <c r="Z279" s="676"/>
      <c r="AA279" s="676"/>
      <c r="AB279" s="676"/>
      <c r="AC279" s="676"/>
      <c r="AD279" s="676"/>
      <c r="AE279" s="683"/>
      <c r="AF279" s="1457"/>
      <c r="AG279" s="1458"/>
      <c r="AH279" s="1458"/>
      <c r="AI279" s="1457"/>
      <c r="AJ279" s="1458"/>
      <c r="AK279" s="1458"/>
      <c r="AL279" s="71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1.25" customHeight="1">
      <c r="A280" s="303" t="s">
        <v>1032</v>
      </c>
      <c r="B280" s="303" t="s">
        <v>1100</v>
      </c>
      <c r="E280" s="10"/>
      <c r="F280" s="1446"/>
      <c r="G280" s="1182" t="s">
        <v>122</v>
      </c>
      <c r="H280" s="1442" t="s">
        <v>112</v>
      </c>
      <c r="I280" s="1454" t="s">
        <v>1101</v>
      </c>
      <c r="J280" s="1455" t="s">
        <v>1102</v>
      </c>
      <c r="K280" s="1456" t="s">
        <v>1175</v>
      </c>
      <c r="L280" s="1169" t="s">
        <v>19</v>
      </c>
      <c r="M280" s="1170"/>
      <c r="N280" s="1053"/>
      <c r="O280" s="677" t="s">
        <v>382</v>
      </c>
      <c r="P280" s="678"/>
      <c r="Q280" s="678"/>
      <c r="R280" s="678"/>
      <c r="S280" s="678"/>
      <c r="T280" s="678"/>
      <c r="U280" s="678"/>
      <c r="V280" s="678"/>
      <c r="W280" s="678"/>
      <c r="X280" s="678"/>
      <c r="Y280" s="678"/>
      <c r="Z280" s="678"/>
      <c r="AA280" s="678"/>
      <c r="AB280" s="678"/>
      <c r="AC280" s="678"/>
      <c r="AD280" s="678"/>
      <c r="AE280" s="678"/>
      <c r="AF280" s="1457">
        <v>2024</v>
      </c>
      <c r="AG280" s="1458" t="s">
        <v>1115</v>
      </c>
      <c r="AH280" s="1458" t="s">
        <v>1122</v>
      </c>
      <c r="AI280" s="1457">
        <v>2025</v>
      </c>
      <c r="AJ280" s="1458" t="s">
        <v>1081</v>
      </c>
      <c r="AK280" s="1458" t="s">
        <v>1122</v>
      </c>
      <c r="AL280" s="71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1.25" customHeight="1">
      <c r="A281" s="303" t="s">
        <v>1032</v>
      </c>
      <c r="E281" s="10"/>
      <c r="F281" s="1446"/>
      <c r="G281" s="1447"/>
      <c r="H281" s="1442" t="s">
        <v>93</v>
      </c>
      <c r="I281" s="1454"/>
      <c r="J281" s="1455"/>
      <c r="K281" s="1456"/>
      <c r="L281" s="1169"/>
      <c r="M281" s="1170"/>
      <c r="N281" s="1459"/>
      <c r="O281" s="1460">
        <v>1</v>
      </c>
      <c r="P281" s="1461" t="s">
        <v>62</v>
      </c>
      <c r="Q281" s="1455" t="s">
        <v>1071</v>
      </c>
      <c r="R281" s="1464" t="s">
        <v>1072</v>
      </c>
      <c r="S281" s="1464" t="s">
        <v>100</v>
      </c>
      <c r="T281" s="1464" t="s">
        <v>100</v>
      </c>
      <c r="U281" s="1464" t="s">
        <v>101</v>
      </c>
      <c r="V281" s="1464" t="s">
        <v>1073</v>
      </c>
      <c r="W281" s="1464" t="s">
        <v>1074</v>
      </c>
      <c r="X281" s="1464" t="s">
        <v>1075</v>
      </c>
      <c r="Y281" s="1464" t="s">
        <v>1076</v>
      </c>
      <c r="Z281" s="675"/>
      <c r="AA281" s="676"/>
      <c r="AB281" s="676"/>
      <c r="AC281" s="680"/>
      <c r="AD281" s="680"/>
      <c r="AE281" s="681"/>
      <c r="AF281" s="1457"/>
      <c r="AG281" s="1458"/>
      <c r="AH281" s="1458"/>
      <c r="AI281" s="1457"/>
      <c r="AJ281" s="1458"/>
      <c r="AK281" s="1458"/>
      <c r="AL281" s="71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32.25" customHeight="1">
      <c r="A282" s="303" t="s">
        <v>1032</v>
      </c>
      <c r="E282" s="10"/>
      <c r="F282" s="1446"/>
      <c r="G282" s="1447"/>
      <c r="H282" s="1442" t="s">
        <v>93</v>
      </c>
      <c r="I282" s="1454"/>
      <c r="J282" s="1455"/>
      <c r="K282" s="1456"/>
      <c r="L282" s="1169"/>
      <c r="M282" s="1170"/>
      <c r="N282" s="1459"/>
      <c r="O282" s="1460"/>
      <c r="P282" s="1462"/>
      <c r="Q282" s="1455"/>
      <c r="R282" s="1415"/>
      <c r="S282" s="1464"/>
      <c r="T282" s="1415"/>
      <c r="U282" s="1415"/>
      <c r="V282" s="1415"/>
      <c r="W282" s="1415"/>
      <c r="X282" s="1415"/>
      <c r="Y282" s="1415"/>
      <c r="Z282" s="987"/>
      <c r="AA282" s="978">
        <v>1</v>
      </c>
      <c r="AB282" s="679" t="s">
        <v>1088</v>
      </c>
      <c r="AC282" s="380">
        <v>3889.7</v>
      </c>
      <c r="AD282" s="679" t="str">
        <f>AB282</f>
        <v xml:space="preserve">     Амортизационные отчисления за исключением переоценки основных средств и нематериальных активов</v>
      </c>
      <c r="AE282" s="380">
        <v>3889.7</v>
      </c>
      <c r="AF282" s="1457"/>
      <c r="AG282" s="1458"/>
      <c r="AH282" s="1458"/>
      <c r="AI282" s="1457"/>
      <c r="AJ282" s="1458"/>
      <c r="AK282" s="1458"/>
      <c r="AL282" s="71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1.25" customHeight="1">
      <c r="A283" s="303" t="s">
        <v>1032</v>
      </c>
      <c r="E283" s="10"/>
      <c r="F283" s="1446"/>
      <c r="G283" s="1447"/>
      <c r="H283" s="1442" t="s">
        <v>93</v>
      </c>
      <c r="I283" s="1454"/>
      <c r="J283" s="1455"/>
      <c r="K283" s="1456"/>
      <c r="L283" s="1169"/>
      <c r="M283" s="1170"/>
      <c r="N283" s="1459"/>
      <c r="O283" s="1460"/>
      <c r="P283" s="1463"/>
      <c r="Q283" s="1455"/>
      <c r="R283" s="1415"/>
      <c r="S283" s="1464"/>
      <c r="T283" s="1415"/>
      <c r="U283" s="1415"/>
      <c r="V283" s="1415"/>
      <c r="W283" s="1415"/>
      <c r="X283" s="1415"/>
      <c r="Y283" s="1415"/>
      <c r="Z283" s="675"/>
      <c r="AA283" s="676"/>
      <c r="AB283" s="110" t="s">
        <v>1078</v>
      </c>
      <c r="AC283" s="680"/>
      <c r="AD283" s="680"/>
      <c r="AE283" s="682"/>
      <c r="AF283" s="1457"/>
      <c r="AG283" s="1458"/>
      <c r="AH283" s="1458"/>
      <c r="AI283" s="1457"/>
      <c r="AJ283" s="1458"/>
      <c r="AK283" s="1458"/>
      <c r="AL283" s="71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1.25" customHeight="1">
      <c r="A284" s="303" t="s">
        <v>1032</v>
      </c>
      <c r="E284" s="10"/>
      <c r="F284" s="1446"/>
      <c r="G284" s="1447"/>
      <c r="H284" s="1442" t="s">
        <v>93</v>
      </c>
      <c r="I284" s="1454"/>
      <c r="J284" s="1455"/>
      <c r="K284" s="1456"/>
      <c r="L284" s="1169"/>
      <c r="M284" s="1170"/>
      <c r="N284" s="675"/>
      <c r="O284" s="676"/>
      <c r="P284" s="110" t="s">
        <v>1079</v>
      </c>
      <c r="Q284" s="676"/>
      <c r="R284" s="676"/>
      <c r="S284" s="676"/>
      <c r="T284" s="676"/>
      <c r="U284" s="676"/>
      <c r="V284" s="676"/>
      <c r="W284" s="676"/>
      <c r="X284" s="676"/>
      <c r="Y284" s="676"/>
      <c r="Z284" s="676"/>
      <c r="AA284" s="676"/>
      <c r="AB284" s="676"/>
      <c r="AC284" s="676"/>
      <c r="AD284" s="676"/>
      <c r="AE284" s="683"/>
      <c r="AF284" s="1457"/>
      <c r="AG284" s="1458"/>
      <c r="AH284" s="1458"/>
      <c r="AI284" s="1457"/>
      <c r="AJ284" s="1458"/>
      <c r="AK284" s="1458"/>
      <c r="AL284" s="71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1.25" customHeight="1">
      <c r="A285" s="303" t="s">
        <v>1032</v>
      </c>
      <c r="B285" s="303" t="s">
        <v>1100</v>
      </c>
      <c r="E285" s="10"/>
      <c r="F285" s="1446"/>
      <c r="G285" s="1182" t="s">
        <v>122</v>
      </c>
      <c r="H285" s="1442" t="s">
        <v>156</v>
      </c>
      <c r="I285" s="1454" t="s">
        <v>1101</v>
      </c>
      <c r="J285" s="1455" t="s">
        <v>1120</v>
      </c>
      <c r="K285" s="1456" t="s">
        <v>1121</v>
      </c>
      <c r="L285" s="1169" t="s">
        <v>19</v>
      </c>
      <c r="M285" s="1170"/>
      <c r="N285" s="1053"/>
      <c r="O285" s="677" t="s">
        <v>382</v>
      </c>
      <c r="P285" s="678"/>
      <c r="Q285" s="678"/>
      <c r="R285" s="678"/>
      <c r="S285" s="678"/>
      <c r="T285" s="678"/>
      <c r="U285" s="678"/>
      <c r="V285" s="678"/>
      <c r="W285" s="678"/>
      <c r="X285" s="678"/>
      <c r="Y285" s="678"/>
      <c r="Z285" s="678"/>
      <c r="AA285" s="678"/>
      <c r="AB285" s="678"/>
      <c r="AC285" s="678"/>
      <c r="AD285" s="678"/>
      <c r="AE285" s="678"/>
      <c r="AF285" s="1457">
        <v>2024</v>
      </c>
      <c r="AG285" s="1458" t="s">
        <v>1070</v>
      </c>
      <c r="AH285" s="1458" t="s">
        <v>1122</v>
      </c>
      <c r="AI285" s="1466"/>
      <c r="AJ285" s="1458" t="s">
        <v>1084</v>
      </c>
      <c r="AK285" s="1458" t="s">
        <v>1084</v>
      </c>
      <c r="AL285" s="71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1.25" customHeight="1">
      <c r="A286" s="303" t="s">
        <v>1032</v>
      </c>
      <c r="E286" s="10"/>
      <c r="F286" s="1446"/>
      <c r="G286" s="1447"/>
      <c r="H286" s="1442" t="s">
        <v>112</v>
      </c>
      <c r="I286" s="1454"/>
      <c r="J286" s="1455"/>
      <c r="K286" s="1456"/>
      <c r="L286" s="1169"/>
      <c r="M286" s="1170"/>
      <c r="N286" s="1459"/>
      <c r="O286" s="1460">
        <v>1</v>
      </c>
      <c r="P286" s="1461" t="s">
        <v>62</v>
      </c>
      <c r="Q286" s="1455" t="s">
        <v>1085</v>
      </c>
      <c r="R286" s="1464" t="s">
        <v>1072</v>
      </c>
      <c r="S286" s="1464" t="s">
        <v>100</v>
      </c>
      <c r="T286" s="1464" t="s">
        <v>100</v>
      </c>
      <c r="U286" s="1464" t="s">
        <v>101</v>
      </c>
      <c r="V286" s="1464" t="s">
        <v>1073</v>
      </c>
      <c r="W286" s="1464" t="s">
        <v>1074</v>
      </c>
      <c r="X286" s="1464" t="s">
        <v>1086</v>
      </c>
      <c r="Y286" s="1464" t="s">
        <v>1087</v>
      </c>
      <c r="Z286" s="675"/>
      <c r="AA286" s="676"/>
      <c r="AB286" s="676"/>
      <c r="AC286" s="680"/>
      <c r="AD286" s="680"/>
      <c r="AE286" s="681"/>
      <c r="AF286" s="1457"/>
      <c r="AG286" s="1458"/>
      <c r="AH286" s="1458"/>
      <c r="AI286" s="1466"/>
      <c r="AJ286" s="1458"/>
      <c r="AK286" s="1458"/>
      <c r="AL286" s="71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32.25" customHeight="1">
      <c r="A287" s="303" t="s">
        <v>1032</v>
      </c>
      <c r="E287" s="10"/>
      <c r="F287" s="1446"/>
      <c r="G287" s="1447"/>
      <c r="H287" s="1442" t="s">
        <v>112</v>
      </c>
      <c r="I287" s="1454"/>
      <c r="J287" s="1455"/>
      <c r="K287" s="1456"/>
      <c r="L287" s="1169"/>
      <c r="M287" s="1170"/>
      <c r="N287" s="1459"/>
      <c r="O287" s="1460"/>
      <c r="P287" s="1462"/>
      <c r="Q287" s="1455"/>
      <c r="R287" s="1415"/>
      <c r="S287" s="1464"/>
      <c r="T287" s="1415"/>
      <c r="U287" s="1415"/>
      <c r="V287" s="1415"/>
      <c r="W287" s="1415"/>
      <c r="X287" s="1415"/>
      <c r="Y287" s="1415"/>
      <c r="Z287" s="987"/>
      <c r="AA287" s="978">
        <v>1</v>
      </c>
      <c r="AB287" s="679" t="s">
        <v>1088</v>
      </c>
      <c r="AC287" s="380">
        <v>30097.87</v>
      </c>
      <c r="AD287" s="679" t="str">
        <f>AB287</f>
        <v xml:space="preserve">     Амортизационные отчисления за исключением переоценки основных средств и нематериальных активов</v>
      </c>
      <c r="AE287" s="380">
        <v>20782.849999999999</v>
      </c>
      <c r="AF287" s="1457"/>
      <c r="AG287" s="1458"/>
      <c r="AH287" s="1458"/>
      <c r="AI287" s="1466"/>
      <c r="AJ287" s="1458"/>
      <c r="AK287" s="1458"/>
      <c r="AL287" s="71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1.25" customHeight="1">
      <c r="A288" s="303" t="s">
        <v>1032</v>
      </c>
      <c r="E288" s="10"/>
      <c r="F288" s="1446"/>
      <c r="G288" s="1447"/>
      <c r="H288" s="1442" t="s">
        <v>112</v>
      </c>
      <c r="I288" s="1454"/>
      <c r="J288" s="1455"/>
      <c r="K288" s="1456"/>
      <c r="L288" s="1169"/>
      <c r="M288" s="1170"/>
      <c r="N288" s="1459"/>
      <c r="O288" s="1460"/>
      <c r="P288" s="1463"/>
      <c r="Q288" s="1455"/>
      <c r="R288" s="1415"/>
      <c r="S288" s="1464"/>
      <c r="T288" s="1415"/>
      <c r="U288" s="1415"/>
      <c r="V288" s="1415"/>
      <c r="W288" s="1415"/>
      <c r="X288" s="1415"/>
      <c r="Y288" s="1415"/>
      <c r="Z288" s="675"/>
      <c r="AA288" s="676"/>
      <c r="AB288" s="110" t="s">
        <v>1078</v>
      </c>
      <c r="AC288" s="680"/>
      <c r="AD288" s="680"/>
      <c r="AE288" s="682"/>
      <c r="AF288" s="1457"/>
      <c r="AG288" s="1458"/>
      <c r="AH288" s="1458"/>
      <c r="AI288" s="1466"/>
      <c r="AJ288" s="1458"/>
      <c r="AK288" s="1458"/>
      <c r="AL288" s="71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1.25" customHeight="1">
      <c r="A289" s="303" t="s">
        <v>1032</v>
      </c>
      <c r="E289" s="10"/>
      <c r="F289" s="1446"/>
      <c r="G289" s="1447"/>
      <c r="H289" s="1442" t="s">
        <v>112</v>
      </c>
      <c r="I289" s="1454"/>
      <c r="J289" s="1455"/>
      <c r="K289" s="1456"/>
      <c r="L289" s="1169"/>
      <c r="M289" s="1170"/>
      <c r="N289" s="675"/>
      <c r="O289" s="676"/>
      <c r="P289" s="110" t="s">
        <v>1079</v>
      </c>
      <c r="Q289" s="676"/>
      <c r="R289" s="676"/>
      <c r="S289" s="676"/>
      <c r="T289" s="676"/>
      <c r="U289" s="676"/>
      <c r="V289" s="676"/>
      <c r="W289" s="676"/>
      <c r="X289" s="676"/>
      <c r="Y289" s="676"/>
      <c r="Z289" s="676"/>
      <c r="AA289" s="676"/>
      <c r="AB289" s="676"/>
      <c r="AC289" s="676"/>
      <c r="AD289" s="676"/>
      <c r="AE289" s="683"/>
      <c r="AF289" s="1457"/>
      <c r="AG289" s="1458"/>
      <c r="AH289" s="1458"/>
      <c r="AI289" s="1466"/>
      <c r="AJ289" s="1458"/>
      <c r="AK289" s="1458"/>
      <c r="AL289" s="71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1.25" customHeight="1">
      <c r="A290" s="303" t="s">
        <v>1032</v>
      </c>
      <c r="B290" s="303" t="s">
        <v>1100</v>
      </c>
      <c r="E290" s="10"/>
      <c r="F290" s="1446"/>
      <c r="G290" s="1182" t="s">
        <v>122</v>
      </c>
      <c r="H290" s="1442" t="s">
        <v>157</v>
      </c>
      <c r="I290" s="1454" t="s">
        <v>1101</v>
      </c>
      <c r="J290" s="1455" t="s">
        <v>1120</v>
      </c>
      <c r="K290" s="1456" t="s">
        <v>1128</v>
      </c>
      <c r="L290" s="1169" t="s">
        <v>19</v>
      </c>
      <c r="M290" s="1170"/>
      <c r="N290" s="1053"/>
      <c r="O290" s="677" t="s">
        <v>382</v>
      </c>
      <c r="P290" s="678"/>
      <c r="Q290" s="678"/>
      <c r="R290" s="678"/>
      <c r="S290" s="678"/>
      <c r="T290" s="678"/>
      <c r="U290" s="678"/>
      <c r="V290" s="678"/>
      <c r="W290" s="678"/>
      <c r="X290" s="678"/>
      <c r="Y290" s="678"/>
      <c r="Z290" s="678"/>
      <c r="AA290" s="678"/>
      <c r="AB290" s="678"/>
      <c r="AC290" s="678"/>
      <c r="AD290" s="678"/>
      <c r="AE290" s="678"/>
      <c r="AF290" s="1457">
        <v>2024</v>
      </c>
      <c r="AG290" s="1458" t="s">
        <v>1129</v>
      </c>
      <c r="AH290" s="1458" t="s">
        <v>1106</v>
      </c>
      <c r="AI290" s="1457">
        <v>2024</v>
      </c>
      <c r="AJ290" s="1458" t="s">
        <v>1129</v>
      </c>
      <c r="AK290" s="1458" t="s">
        <v>1106</v>
      </c>
      <c r="AL290" s="71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10.5" customHeight="1">
      <c r="A291" s="303" t="s">
        <v>1032</v>
      </c>
      <c r="E291" s="10"/>
      <c r="F291" s="1446"/>
      <c r="G291" s="1447"/>
      <c r="H291" s="1442" t="s">
        <v>156</v>
      </c>
      <c r="I291" s="1454"/>
      <c r="J291" s="1455"/>
      <c r="K291" s="1456"/>
      <c r="L291" s="1169"/>
      <c r="M291" s="1170"/>
      <c r="N291" s="1459"/>
      <c r="O291" s="1460">
        <v>1</v>
      </c>
      <c r="P291" s="1461" t="s">
        <v>62</v>
      </c>
      <c r="Q291" s="1455" t="s">
        <v>1085</v>
      </c>
      <c r="R291" s="1464" t="s">
        <v>1072</v>
      </c>
      <c r="S291" s="1464" t="s">
        <v>100</v>
      </c>
      <c r="T291" s="1464" t="s">
        <v>100</v>
      </c>
      <c r="U291" s="1464" t="s">
        <v>101</v>
      </c>
      <c r="V291" s="1464" t="s">
        <v>1073</v>
      </c>
      <c r="W291" s="1464" t="s">
        <v>1074</v>
      </c>
      <c r="X291" s="1464" t="s">
        <v>1086</v>
      </c>
      <c r="Y291" s="1464" t="s">
        <v>1087</v>
      </c>
      <c r="Z291" s="675"/>
      <c r="AA291" s="676"/>
      <c r="AB291" s="676"/>
      <c r="AC291" s="680"/>
      <c r="AD291" s="680"/>
      <c r="AE291" s="681"/>
      <c r="AF291" s="1457"/>
      <c r="AG291" s="1458"/>
      <c r="AH291" s="1458"/>
      <c r="AI291" s="1457"/>
      <c r="AJ291" s="1458"/>
      <c r="AK291" s="1458"/>
      <c r="AL291" s="71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32.25" customHeight="1">
      <c r="A292" s="303" t="s">
        <v>1032</v>
      </c>
      <c r="E292" s="10"/>
      <c r="F292" s="1446"/>
      <c r="G292" s="1447"/>
      <c r="H292" s="1442" t="s">
        <v>156</v>
      </c>
      <c r="I292" s="1454"/>
      <c r="J292" s="1455"/>
      <c r="K292" s="1456"/>
      <c r="L292" s="1169"/>
      <c r="M292" s="1170"/>
      <c r="N292" s="1459"/>
      <c r="O292" s="1460"/>
      <c r="P292" s="1462"/>
      <c r="Q292" s="1455"/>
      <c r="R292" s="1415"/>
      <c r="S292" s="1464"/>
      <c r="T292" s="1415"/>
      <c r="U292" s="1415"/>
      <c r="V292" s="1415"/>
      <c r="W292" s="1415"/>
      <c r="X292" s="1415"/>
      <c r="Y292" s="1415"/>
      <c r="Z292" s="987"/>
      <c r="AA292" s="978">
        <v>1</v>
      </c>
      <c r="AB292" s="679" t="s">
        <v>1088</v>
      </c>
      <c r="AC292" s="380">
        <v>10522.52</v>
      </c>
      <c r="AD292" s="679" t="str">
        <f>AB292</f>
        <v xml:space="preserve">     Амортизационные отчисления за исключением переоценки основных средств и нематериальных активов</v>
      </c>
      <c r="AE292" s="380">
        <v>10522.52</v>
      </c>
      <c r="AF292" s="1457"/>
      <c r="AG292" s="1458"/>
      <c r="AH292" s="1458"/>
      <c r="AI292" s="1457"/>
      <c r="AJ292" s="1458"/>
      <c r="AK292" s="1458"/>
      <c r="AL292" s="71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1.25" customHeight="1">
      <c r="A293" s="303" t="s">
        <v>1032</v>
      </c>
      <c r="E293" s="10"/>
      <c r="F293" s="1446"/>
      <c r="G293" s="1447"/>
      <c r="H293" s="1442" t="s">
        <v>156</v>
      </c>
      <c r="I293" s="1454"/>
      <c r="J293" s="1455"/>
      <c r="K293" s="1456"/>
      <c r="L293" s="1169"/>
      <c r="M293" s="1170"/>
      <c r="N293" s="1459"/>
      <c r="O293" s="1460"/>
      <c r="P293" s="1463"/>
      <c r="Q293" s="1455"/>
      <c r="R293" s="1415"/>
      <c r="S293" s="1464"/>
      <c r="T293" s="1415"/>
      <c r="U293" s="1415"/>
      <c r="V293" s="1415"/>
      <c r="W293" s="1415"/>
      <c r="X293" s="1415"/>
      <c r="Y293" s="1415"/>
      <c r="Z293" s="675"/>
      <c r="AA293" s="676"/>
      <c r="AB293" s="110" t="s">
        <v>1078</v>
      </c>
      <c r="AC293" s="680"/>
      <c r="AD293" s="680"/>
      <c r="AE293" s="682"/>
      <c r="AF293" s="1457"/>
      <c r="AG293" s="1458"/>
      <c r="AH293" s="1458"/>
      <c r="AI293" s="1457"/>
      <c r="AJ293" s="1458"/>
      <c r="AK293" s="1458"/>
      <c r="AL293" s="71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11.25" customHeight="1">
      <c r="A294" s="303" t="s">
        <v>1032</v>
      </c>
      <c r="E294" s="10"/>
      <c r="F294" s="1446"/>
      <c r="G294" s="1447"/>
      <c r="H294" s="1442" t="s">
        <v>156</v>
      </c>
      <c r="I294" s="1454"/>
      <c r="J294" s="1455"/>
      <c r="K294" s="1456"/>
      <c r="L294" s="1169"/>
      <c r="M294" s="1170"/>
      <c r="N294" s="675"/>
      <c r="O294" s="676"/>
      <c r="P294" s="110" t="s">
        <v>1079</v>
      </c>
      <c r="Q294" s="676"/>
      <c r="R294" s="676"/>
      <c r="S294" s="676"/>
      <c r="T294" s="676"/>
      <c r="U294" s="676"/>
      <c r="V294" s="676"/>
      <c r="W294" s="676"/>
      <c r="X294" s="676"/>
      <c r="Y294" s="676"/>
      <c r="Z294" s="676"/>
      <c r="AA294" s="676"/>
      <c r="AB294" s="676"/>
      <c r="AC294" s="676"/>
      <c r="AD294" s="676"/>
      <c r="AE294" s="683"/>
      <c r="AF294" s="1457"/>
      <c r="AG294" s="1458"/>
      <c r="AH294" s="1458"/>
      <c r="AI294" s="1457"/>
      <c r="AJ294" s="1458"/>
      <c r="AK294" s="1458"/>
      <c r="AL294" s="71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1.25" customHeight="1">
      <c r="A295" s="303" t="s">
        <v>1032</v>
      </c>
      <c r="B295" s="303" t="s">
        <v>1142</v>
      </c>
      <c r="E295" s="10"/>
      <c r="F295" s="1446"/>
      <c r="G295" s="1182" t="s">
        <v>122</v>
      </c>
      <c r="H295" s="1442" t="s">
        <v>158</v>
      </c>
      <c r="I295" s="1454" t="s">
        <v>1144</v>
      </c>
      <c r="J295" s="1455" t="s">
        <v>1176</v>
      </c>
      <c r="K295" s="1456" t="s">
        <v>1177</v>
      </c>
      <c r="L295" s="1169" t="s">
        <v>19</v>
      </c>
      <c r="M295" s="1170"/>
      <c r="N295" s="1053"/>
      <c r="O295" s="677" t="s">
        <v>382</v>
      </c>
      <c r="P295" s="678"/>
      <c r="Q295" s="678"/>
      <c r="R295" s="678"/>
      <c r="S295" s="678"/>
      <c r="T295" s="678"/>
      <c r="U295" s="678"/>
      <c r="V295" s="678"/>
      <c r="W295" s="678"/>
      <c r="X295" s="678"/>
      <c r="Y295" s="678"/>
      <c r="Z295" s="678"/>
      <c r="AA295" s="678"/>
      <c r="AB295" s="678"/>
      <c r="AC295" s="678"/>
      <c r="AD295" s="678"/>
      <c r="AE295" s="678"/>
      <c r="AF295" s="1457">
        <v>2024</v>
      </c>
      <c r="AG295" s="1458" t="s">
        <v>1081</v>
      </c>
      <c r="AH295" s="1458" t="s">
        <v>1122</v>
      </c>
      <c r="AI295" s="1457">
        <v>2025</v>
      </c>
      <c r="AJ295" s="1458" t="s">
        <v>1081</v>
      </c>
      <c r="AK295" s="1458" t="s">
        <v>1122</v>
      </c>
      <c r="AL295" s="71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1.25" customHeight="1">
      <c r="A296" s="303" t="s">
        <v>1032</v>
      </c>
      <c r="E296" s="10"/>
      <c r="F296" s="1446"/>
      <c r="G296" s="1447"/>
      <c r="H296" s="1442" t="s">
        <v>157</v>
      </c>
      <c r="I296" s="1454"/>
      <c r="J296" s="1455"/>
      <c r="K296" s="1456"/>
      <c r="L296" s="1169"/>
      <c r="M296" s="1170"/>
      <c r="N296" s="1459"/>
      <c r="O296" s="1460">
        <v>1</v>
      </c>
      <c r="P296" s="1461" t="s">
        <v>62</v>
      </c>
      <c r="Q296" s="1455" t="s">
        <v>1085</v>
      </c>
      <c r="R296" s="1464" t="s">
        <v>1072</v>
      </c>
      <c r="S296" s="1464" t="s">
        <v>100</v>
      </c>
      <c r="T296" s="1464" t="s">
        <v>100</v>
      </c>
      <c r="U296" s="1464" t="s">
        <v>101</v>
      </c>
      <c r="V296" s="1464" t="s">
        <v>1073</v>
      </c>
      <c r="W296" s="1464" t="s">
        <v>1074</v>
      </c>
      <c r="X296" s="1464" t="s">
        <v>1086</v>
      </c>
      <c r="Y296" s="1464" t="s">
        <v>1087</v>
      </c>
      <c r="Z296" s="675"/>
      <c r="AA296" s="676"/>
      <c r="AB296" s="676"/>
      <c r="AC296" s="680"/>
      <c r="AD296" s="680"/>
      <c r="AE296" s="681"/>
      <c r="AF296" s="1457"/>
      <c r="AG296" s="1458"/>
      <c r="AH296" s="1458"/>
      <c r="AI296" s="1457"/>
      <c r="AJ296" s="1458"/>
      <c r="AK296" s="1458"/>
      <c r="AL296" s="71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32.25" customHeight="1">
      <c r="A297" s="303" t="s">
        <v>1032</v>
      </c>
      <c r="E297" s="10"/>
      <c r="F297" s="1446"/>
      <c r="G297" s="1447"/>
      <c r="H297" s="1442" t="s">
        <v>157</v>
      </c>
      <c r="I297" s="1454"/>
      <c r="J297" s="1455"/>
      <c r="K297" s="1456"/>
      <c r="L297" s="1169"/>
      <c r="M297" s="1170"/>
      <c r="N297" s="1459"/>
      <c r="O297" s="1460"/>
      <c r="P297" s="1462"/>
      <c r="Q297" s="1455"/>
      <c r="R297" s="1415"/>
      <c r="S297" s="1464"/>
      <c r="T297" s="1415"/>
      <c r="U297" s="1415"/>
      <c r="V297" s="1415"/>
      <c r="W297" s="1415"/>
      <c r="X297" s="1415"/>
      <c r="Y297" s="1415"/>
      <c r="Z297" s="987"/>
      <c r="AA297" s="978">
        <v>1</v>
      </c>
      <c r="AB297" s="679" t="s">
        <v>1088</v>
      </c>
      <c r="AC297" s="380">
        <v>371.59</v>
      </c>
      <c r="AD297" s="679" t="str">
        <f>AB297</f>
        <v xml:space="preserve">     Амортизационные отчисления за исключением переоценки основных средств и нематериальных активов</v>
      </c>
      <c r="AE297" s="380">
        <v>371.59</v>
      </c>
      <c r="AF297" s="1457"/>
      <c r="AG297" s="1458"/>
      <c r="AH297" s="1458"/>
      <c r="AI297" s="1457"/>
      <c r="AJ297" s="1458"/>
      <c r="AK297" s="1458"/>
      <c r="AL297" s="71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1.25" customHeight="1">
      <c r="A298" s="303" t="s">
        <v>1032</v>
      </c>
      <c r="E298" s="10"/>
      <c r="F298" s="1446"/>
      <c r="G298" s="1447"/>
      <c r="H298" s="1442" t="s">
        <v>157</v>
      </c>
      <c r="I298" s="1454"/>
      <c r="J298" s="1455"/>
      <c r="K298" s="1456"/>
      <c r="L298" s="1169"/>
      <c r="M298" s="1170"/>
      <c r="N298" s="1459"/>
      <c r="O298" s="1460"/>
      <c r="P298" s="1463"/>
      <c r="Q298" s="1455"/>
      <c r="R298" s="1415"/>
      <c r="S298" s="1464"/>
      <c r="T298" s="1415"/>
      <c r="U298" s="1415"/>
      <c r="V298" s="1415"/>
      <c r="W298" s="1415"/>
      <c r="X298" s="1415"/>
      <c r="Y298" s="1415"/>
      <c r="Z298" s="675"/>
      <c r="AA298" s="676"/>
      <c r="AB298" s="110" t="s">
        <v>1078</v>
      </c>
      <c r="AC298" s="680"/>
      <c r="AD298" s="680"/>
      <c r="AE298" s="682"/>
      <c r="AF298" s="1457"/>
      <c r="AG298" s="1458"/>
      <c r="AH298" s="1458"/>
      <c r="AI298" s="1457"/>
      <c r="AJ298" s="1458"/>
      <c r="AK298" s="1458"/>
      <c r="AL298" s="71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0.5" customHeight="1">
      <c r="A299" s="303" t="s">
        <v>1032</v>
      </c>
      <c r="E299" s="10"/>
      <c r="F299" s="1446"/>
      <c r="G299" s="1447"/>
      <c r="H299" s="1447"/>
      <c r="I299" s="1467"/>
      <c r="J299" s="1467"/>
      <c r="K299" s="1473"/>
      <c r="L299" s="1467"/>
      <c r="M299" s="1447"/>
      <c r="N299" s="1182" t="s">
        <v>122</v>
      </c>
      <c r="O299" s="1483" t="s">
        <v>110</v>
      </c>
      <c r="P299" s="1461" t="s">
        <v>62</v>
      </c>
      <c r="Q299" s="1455" t="s">
        <v>1096</v>
      </c>
      <c r="R299" s="1464" t="s">
        <v>1072</v>
      </c>
      <c r="S299" s="1464" t="s">
        <v>100</v>
      </c>
      <c r="T299" s="1464" t="s">
        <v>100</v>
      </c>
      <c r="U299" s="1464" t="s">
        <v>101</v>
      </c>
      <c r="V299" s="1464" t="s">
        <v>1073</v>
      </c>
      <c r="W299" s="1464" t="s">
        <v>1074</v>
      </c>
      <c r="X299" s="1464" t="s">
        <v>1075</v>
      </c>
      <c r="Y299" s="1464" t="s">
        <v>1097</v>
      </c>
      <c r="Z299" s="675"/>
      <c r="AA299" s="676"/>
      <c r="AB299" s="676"/>
      <c r="AC299" s="680"/>
      <c r="AD299" s="680"/>
      <c r="AE299" s="680"/>
      <c r="AF299" s="1474"/>
      <c r="AG299" s="1477"/>
      <c r="AH299" s="1477"/>
      <c r="AI299" s="1474"/>
      <c r="AJ299" s="1477"/>
      <c r="AK299" s="1478"/>
      <c r="AL299" s="71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32.25" customHeight="1">
      <c r="A300" s="303" t="s">
        <v>1032</v>
      </c>
      <c r="E300" s="10"/>
      <c r="F300" s="1446"/>
      <c r="G300" s="1447"/>
      <c r="H300" s="1447"/>
      <c r="I300" s="1468"/>
      <c r="J300" s="1468"/>
      <c r="K300" s="1473"/>
      <c r="L300" s="1468"/>
      <c r="M300" s="1447"/>
      <c r="N300" s="1459"/>
      <c r="O300" s="1483">
        <v>1</v>
      </c>
      <c r="P300" s="1462"/>
      <c r="Q300" s="1455"/>
      <c r="R300" s="1415"/>
      <c r="S300" s="1464"/>
      <c r="T300" s="1415"/>
      <c r="U300" s="1415"/>
      <c r="V300" s="1415"/>
      <c r="W300" s="1415"/>
      <c r="X300" s="1415"/>
      <c r="Y300" s="1415"/>
      <c r="Z300" s="987"/>
      <c r="AA300" s="978">
        <v>1</v>
      </c>
      <c r="AB300" s="679" t="s">
        <v>1088</v>
      </c>
      <c r="AC300" s="380">
        <v>371.59</v>
      </c>
      <c r="AD300" s="679" t="str">
        <f>AB300</f>
        <v xml:space="preserve">     Амортизационные отчисления за исключением переоценки основных средств и нематериальных активов</v>
      </c>
      <c r="AE300" s="421">
        <v>371.59</v>
      </c>
      <c r="AF300" s="1475"/>
      <c r="AG300" s="1477"/>
      <c r="AH300" s="1477"/>
      <c r="AI300" s="1475"/>
      <c r="AJ300" s="1477"/>
      <c r="AK300" s="1478"/>
      <c r="AL300" s="71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1.25" customHeight="1">
      <c r="A301" s="303" t="s">
        <v>1032</v>
      </c>
      <c r="E301" s="10"/>
      <c r="F301" s="1446"/>
      <c r="G301" s="1447"/>
      <c r="H301" s="1447"/>
      <c r="I301" s="1469"/>
      <c r="J301" s="1469"/>
      <c r="K301" s="1473"/>
      <c r="L301" s="1469"/>
      <c r="M301" s="1447"/>
      <c r="N301" s="1459"/>
      <c r="O301" s="1483">
        <v>1</v>
      </c>
      <c r="P301" s="1463"/>
      <c r="Q301" s="1455"/>
      <c r="R301" s="1415"/>
      <c r="S301" s="1464"/>
      <c r="T301" s="1415"/>
      <c r="U301" s="1415"/>
      <c r="V301" s="1415"/>
      <c r="W301" s="1415"/>
      <c r="X301" s="1415"/>
      <c r="Y301" s="1415"/>
      <c r="Z301" s="675"/>
      <c r="AA301" s="676"/>
      <c r="AB301" s="110" t="s">
        <v>1078</v>
      </c>
      <c r="AC301" s="680"/>
      <c r="AD301" s="680"/>
      <c r="AE301" s="680"/>
      <c r="AF301" s="1476"/>
      <c r="AG301" s="1477"/>
      <c r="AH301" s="1477"/>
      <c r="AI301" s="1476"/>
      <c r="AJ301" s="1477"/>
      <c r="AK301" s="1478"/>
      <c r="AL301" s="71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11.25" customHeight="1">
      <c r="A302" s="303" t="s">
        <v>1032</v>
      </c>
      <c r="E302" s="10"/>
      <c r="F302" s="1446"/>
      <c r="G302" s="1447"/>
      <c r="H302" s="1447"/>
      <c r="I302" s="1467"/>
      <c r="J302" s="1467"/>
      <c r="K302" s="1473"/>
      <c r="L302" s="1467"/>
      <c r="M302" s="1447"/>
      <c r="N302" s="1182" t="s">
        <v>122</v>
      </c>
      <c r="O302" s="1483" t="s">
        <v>90</v>
      </c>
      <c r="P302" s="1461" t="s">
        <v>62</v>
      </c>
      <c r="Q302" s="1455" t="s">
        <v>1171</v>
      </c>
      <c r="R302" s="1464" t="s">
        <v>1072</v>
      </c>
      <c r="S302" s="1464" t="s">
        <v>100</v>
      </c>
      <c r="T302" s="1464" t="s">
        <v>100</v>
      </c>
      <c r="U302" s="1464" t="s">
        <v>101</v>
      </c>
      <c r="V302" s="1464" t="s">
        <v>1073</v>
      </c>
      <c r="W302" s="1464" t="s">
        <v>1074</v>
      </c>
      <c r="X302" s="1464" t="s">
        <v>1172</v>
      </c>
      <c r="Y302" s="1464" t="s">
        <v>1173</v>
      </c>
      <c r="Z302" s="675"/>
      <c r="AA302" s="676"/>
      <c r="AB302" s="676"/>
      <c r="AC302" s="680"/>
      <c r="AD302" s="680"/>
      <c r="AE302" s="680"/>
      <c r="AF302" s="1474"/>
      <c r="AG302" s="1477"/>
      <c r="AH302" s="1477"/>
      <c r="AI302" s="1474"/>
      <c r="AJ302" s="1477"/>
      <c r="AK302" s="1478"/>
      <c r="AL302" s="71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32.25" customHeight="1">
      <c r="A303" s="303" t="s">
        <v>1032</v>
      </c>
      <c r="E303" s="10"/>
      <c r="F303" s="1446"/>
      <c r="G303" s="1447"/>
      <c r="H303" s="1447"/>
      <c r="I303" s="1468"/>
      <c r="J303" s="1468"/>
      <c r="K303" s="1473"/>
      <c r="L303" s="1468"/>
      <c r="M303" s="1447"/>
      <c r="N303" s="1459"/>
      <c r="O303" s="1483" t="s">
        <v>110</v>
      </c>
      <c r="P303" s="1462"/>
      <c r="Q303" s="1455"/>
      <c r="R303" s="1415"/>
      <c r="S303" s="1464"/>
      <c r="T303" s="1415"/>
      <c r="U303" s="1415"/>
      <c r="V303" s="1415"/>
      <c r="W303" s="1415"/>
      <c r="X303" s="1415"/>
      <c r="Y303" s="1415"/>
      <c r="Z303" s="987"/>
      <c r="AA303" s="978">
        <v>1</v>
      </c>
      <c r="AB303" s="679" t="s">
        <v>1088</v>
      </c>
      <c r="AC303" s="380">
        <v>371.59</v>
      </c>
      <c r="AD303" s="679" t="str">
        <f>AB303</f>
        <v xml:space="preserve">     Амортизационные отчисления за исключением переоценки основных средств и нематериальных активов</v>
      </c>
      <c r="AE303" s="421">
        <v>371.59</v>
      </c>
      <c r="AF303" s="1475"/>
      <c r="AG303" s="1477"/>
      <c r="AH303" s="1477"/>
      <c r="AI303" s="1475"/>
      <c r="AJ303" s="1477"/>
      <c r="AK303" s="1478"/>
      <c r="AL303" s="71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1.25" customHeight="1">
      <c r="A304" s="303" t="s">
        <v>1032</v>
      </c>
      <c r="E304" s="10"/>
      <c r="F304" s="1446"/>
      <c r="G304" s="1447"/>
      <c r="H304" s="1447"/>
      <c r="I304" s="1469"/>
      <c r="J304" s="1469"/>
      <c r="K304" s="1473"/>
      <c r="L304" s="1469"/>
      <c r="M304" s="1447"/>
      <c r="N304" s="1459"/>
      <c r="O304" s="1483" t="s">
        <v>110</v>
      </c>
      <c r="P304" s="1463"/>
      <c r="Q304" s="1455"/>
      <c r="R304" s="1415"/>
      <c r="S304" s="1464"/>
      <c r="T304" s="1415"/>
      <c r="U304" s="1415"/>
      <c r="V304" s="1415"/>
      <c r="W304" s="1415"/>
      <c r="X304" s="1415"/>
      <c r="Y304" s="1415"/>
      <c r="Z304" s="675"/>
      <c r="AA304" s="676"/>
      <c r="AB304" s="110" t="s">
        <v>1078</v>
      </c>
      <c r="AC304" s="680"/>
      <c r="AD304" s="680"/>
      <c r="AE304" s="680"/>
      <c r="AF304" s="1476"/>
      <c r="AG304" s="1477"/>
      <c r="AH304" s="1477"/>
      <c r="AI304" s="1476"/>
      <c r="AJ304" s="1477"/>
      <c r="AK304" s="1478"/>
      <c r="AL304" s="71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1.25" customHeight="1">
      <c r="A305" s="303" t="s">
        <v>1032</v>
      </c>
      <c r="E305" s="10"/>
      <c r="F305" s="1446"/>
      <c r="G305" s="1447"/>
      <c r="H305" s="1442" t="s">
        <v>157</v>
      </c>
      <c r="I305" s="1454"/>
      <c r="J305" s="1455"/>
      <c r="K305" s="1456"/>
      <c r="L305" s="1169"/>
      <c r="M305" s="1170"/>
      <c r="N305" s="675"/>
      <c r="O305" s="676"/>
      <c r="P305" s="110" t="s">
        <v>1079</v>
      </c>
      <c r="Q305" s="676"/>
      <c r="R305" s="676"/>
      <c r="S305" s="676"/>
      <c r="T305" s="676"/>
      <c r="U305" s="676"/>
      <c r="V305" s="676"/>
      <c r="W305" s="676"/>
      <c r="X305" s="676"/>
      <c r="Y305" s="676"/>
      <c r="Z305" s="676"/>
      <c r="AA305" s="676"/>
      <c r="AB305" s="676"/>
      <c r="AC305" s="676"/>
      <c r="AD305" s="676"/>
      <c r="AE305" s="683"/>
      <c r="AF305" s="1457"/>
      <c r="AG305" s="1458"/>
      <c r="AH305" s="1458"/>
      <c r="AI305" s="1457"/>
      <c r="AJ305" s="1458"/>
      <c r="AK305" s="1458"/>
      <c r="AL305" s="71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11.25" customHeight="1">
      <c r="A306" s="303" t="s">
        <v>1032</v>
      </c>
      <c r="B306" s="303" t="s">
        <v>22</v>
      </c>
      <c r="E306" s="10"/>
      <c r="F306" s="1446"/>
      <c r="G306" s="1182" t="s">
        <v>122</v>
      </c>
      <c r="H306" s="1442" t="s">
        <v>159</v>
      </c>
      <c r="I306" s="1454" t="s">
        <v>1148</v>
      </c>
      <c r="J306" s="1465" t="s">
        <v>22</v>
      </c>
      <c r="K306" s="1456" t="s">
        <v>1178</v>
      </c>
      <c r="L306" s="1169" t="s">
        <v>19</v>
      </c>
      <c r="M306" s="1170"/>
      <c r="N306" s="1053"/>
      <c r="O306" s="677" t="s">
        <v>382</v>
      </c>
      <c r="P306" s="678"/>
      <c r="Q306" s="678"/>
      <c r="R306" s="678"/>
      <c r="S306" s="678"/>
      <c r="T306" s="678"/>
      <c r="U306" s="678"/>
      <c r="V306" s="678"/>
      <c r="W306" s="678"/>
      <c r="X306" s="678"/>
      <c r="Y306" s="678"/>
      <c r="Z306" s="678"/>
      <c r="AA306" s="678"/>
      <c r="AB306" s="678"/>
      <c r="AC306" s="678"/>
      <c r="AD306" s="678"/>
      <c r="AE306" s="678"/>
      <c r="AF306" s="1457">
        <v>2024</v>
      </c>
      <c r="AG306" s="1458" t="s">
        <v>1115</v>
      </c>
      <c r="AH306" s="1458" t="s">
        <v>1122</v>
      </c>
      <c r="AI306" s="1457">
        <v>2025</v>
      </c>
      <c r="AJ306" s="1458" t="s">
        <v>1154</v>
      </c>
      <c r="AK306" s="1458" t="s">
        <v>1122</v>
      </c>
      <c r="AL306" s="71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11.25" customHeight="1">
      <c r="A307" s="303" t="s">
        <v>1032</v>
      </c>
      <c r="E307" s="10"/>
      <c r="F307" s="1446"/>
      <c r="G307" s="1447"/>
      <c r="H307" s="1442" t="s">
        <v>158</v>
      </c>
      <c r="I307" s="1454"/>
      <c r="J307" s="1465"/>
      <c r="K307" s="1456"/>
      <c r="L307" s="1169"/>
      <c r="M307" s="1170"/>
      <c r="N307" s="1459"/>
      <c r="O307" s="1460">
        <v>1</v>
      </c>
      <c r="P307" s="1461" t="s">
        <v>62</v>
      </c>
      <c r="Q307" s="1455" t="s">
        <v>1171</v>
      </c>
      <c r="R307" s="1464" t="s">
        <v>1072</v>
      </c>
      <c r="S307" s="1464" t="s">
        <v>100</v>
      </c>
      <c r="T307" s="1464" t="s">
        <v>100</v>
      </c>
      <c r="U307" s="1464" t="s">
        <v>101</v>
      </c>
      <c r="V307" s="1464" t="s">
        <v>1073</v>
      </c>
      <c r="W307" s="1464" t="s">
        <v>1074</v>
      </c>
      <c r="X307" s="1464" t="s">
        <v>1172</v>
      </c>
      <c r="Y307" s="1464" t="s">
        <v>1173</v>
      </c>
      <c r="Z307" s="675"/>
      <c r="AA307" s="676"/>
      <c r="AB307" s="676"/>
      <c r="AC307" s="680"/>
      <c r="AD307" s="680"/>
      <c r="AE307" s="681"/>
      <c r="AF307" s="1457"/>
      <c r="AG307" s="1458"/>
      <c r="AH307" s="1458"/>
      <c r="AI307" s="1457"/>
      <c r="AJ307" s="1458"/>
      <c r="AK307" s="1458"/>
      <c r="AL307" s="71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53.25" customHeight="1">
      <c r="A308" s="303" t="s">
        <v>1032</v>
      </c>
      <c r="E308" s="10"/>
      <c r="F308" s="1446"/>
      <c r="G308" s="1447"/>
      <c r="H308" s="1442" t="s">
        <v>158</v>
      </c>
      <c r="I308" s="1454"/>
      <c r="J308" s="1465"/>
      <c r="K308" s="1456"/>
      <c r="L308" s="1169"/>
      <c r="M308" s="1170"/>
      <c r="N308" s="1459"/>
      <c r="O308" s="1460"/>
      <c r="P308" s="1462"/>
      <c r="Q308" s="1455"/>
      <c r="R308" s="1415"/>
      <c r="S308" s="1464"/>
      <c r="T308" s="1415"/>
      <c r="U308" s="1415"/>
      <c r="V308" s="1415"/>
      <c r="W308" s="1415"/>
      <c r="X308" s="1415"/>
      <c r="Y308" s="1415"/>
      <c r="Z308" s="987"/>
      <c r="AA308" s="978">
        <v>1</v>
      </c>
      <c r="AB308" s="679" t="s">
        <v>1088</v>
      </c>
      <c r="AC308" s="380">
        <v>171.96</v>
      </c>
      <c r="AD308" s="679" t="str">
        <f>AB308</f>
        <v xml:space="preserve">     Амортизационные отчисления за исключением переоценки основных средств и нематериальных активов</v>
      </c>
      <c r="AE308" s="380">
        <v>171.96</v>
      </c>
      <c r="AF308" s="1457"/>
      <c r="AG308" s="1458"/>
      <c r="AH308" s="1458"/>
      <c r="AI308" s="1457"/>
      <c r="AJ308" s="1458"/>
      <c r="AK308" s="1458"/>
      <c r="AL308" s="71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1.25" customHeight="1">
      <c r="A309" s="303" t="s">
        <v>1032</v>
      </c>
      <c r="E309" s="10"/>
      <c r="F309" s="1446"/>
      <c r="G309" s="1447"/>
      <c r="H309" s="1442" t="s">
        <v>158</v>
      </c>
      <c r="I309" s="1454"/>
      <c r="J309" s="1465"/>
      <c r="K309" s="1456"/>
      <c r="L309" s="1169"/>
      <c r="M309" s="1170"/>
      <c r="N309" s="1459"/>
      <c r="O309" s="1460"/>
      <c r="P309" s="1463"/>
      <c r="Q309" s="1455"/>
      <c r="R309" s="1415"/>
      <c r="S309" s="1464"/>
      <c r="T309" s="1415"/>
      <c r="U309" s="1415"/>
      <c r="V309" s="1415"/>
      <c r="W309" s="1415"/>
      <c r="X309" s="1415"/>
      <c r="Y309" s="1415"/>
      <c r="Z309" s="675"/>
      <c r="AA309" s="676"/>
      <c r="AB309" s="110" t="s">
        <v>1078</v>
      </c>
      <c r="AC309" s="680"/>
      <c r="AD309" s="680"/>
      <c r="AE309" s="682"/>
      <c r="AF309" s="1457"/>
      <c r="AG309" s="1458"/>
      <c r="AH309" s="1458"/>
      <c r="AI309" s="1457"/>
      <c r="AJ309" s="1458"/>
      <c r="AK309" s="1458"/>
      <c r="AL309" s="71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11.25" customHeight="1">
      <c r="A310" s="303" t="s">
        <v>1032</v>
      </c>
      <c r="E310" s="10"/>
      <c r="F310" s="1446"/>
      <c r="G310" s="1447"/>
      <c r="H310" s="1442" t="s">
        <v>158</v>
      </c>
      <c r="I310" s="1454"/>
      <c r="J310" s="1465"/>
      <c r="K310" s="1456"/>
      <c r="L310" s="1169"/>
      <c r="M310" s="1170"/>
      <c r="N310" s="675"/>
      <c r="O310" s="676"/>
      <c r="P310" s="110" t="s">
        <v>1079</v>
      </c>
      <c r="Q310" s="676"/>
      <c r="R310" s="676"/>
      <c r="S310" s="676"/>
      <c r="T310" s="676"/>
      <c r="U310" s="676"/>
      <c r="V310" s="676"/>
      <c r="W310" s="676"/>
      <c r="X310" s="676"/>
      <c r="Y310" s="676"/>
      <c r="Z310" s="676"/>
      <c r="AA310" s="676"/>
      <c r="AB310" s="676"/>
      <c r="AC310" s="676"/>
      <c r="AD310" s="676"/>
      <c r="AE310" s="683"/>
      <c r="AF310" s="1457"/>
      <c r="AG310" s="1458"/>
      <c r="AH310" s="1458"/>
      <c r="AI310" s="1457"/>
      <c r="AJ310" s="1458"/>
      <c r="AK310" s="1458"/>
      <c r="AL310" s="71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1.25" customHeight="1">
      <c r="A311" s="303" t="s">
        <v>1032</v>
      </c>
      <c r="B311" s="303" t="s">
        <v>22</v>
      </c>
      <c r="E311" s="10"/>
      <c r="F311" s="1446"/>
      <c r="G311" s="1182" t="s">
        <v>122</v>
      </c>
      <c r="H311" s="1442" t="s">
        <v>160</v>
      </c>
      <c r="I311" s="1454" t="s">
        <v>1148</v>
      </c>
      <c r="J311" s="1465" t="s">
        <v>22</v>
      </c>
      <c r="K311" s="1456" t="s">
        <v>1179</v>
      </c>
      <c r="L311" s="1169" t="s">
        <v>19</v>
      </c>
      <c r="M311" s="1170"/>
      <c r="N311" s="1053"/>
      <c r="O311" s="677" t="s">
        <v>382</v>
      </c>
      <c r="P311" s="678"/>
      <c r="Q311" s="678"/>
      <c r="R311" s="678"/>
      <c r="S311" s="678"/>
      <c r="T311" s="678"/>
      <c r="U311" s="678"/>
      <c r="V311" s="678"/>
      <c r="W311" s="678"/>
      <c r="X311" s="678"/>
      <c r="Y311" s="678"/>
      <c r="Z311" s="678"/>
      <c r="AA311" s="678"/>
      <c r="AB311" s="678"/>
      <c r="AC311" s="678"/>
      <c r="AD311" s="678"/>
      <c r="AE311" s="678"/>
      <c r="AF311" s="1457">
        <v>2024</v>
      </c>
      <c r="AG311" s="1458" t="s">
        <v>1081</v>
      </c>
      <c r="AH311" s="1458" t="s">
        <v>1106</v>
      </c>
      <c r="AI311" s="1457">
        <v>2024</v>
      </c>
      <c r="AJ311" s="1458" t="s">
        <v>1081</v>
      </c>
      <c r="AK311" s="1458" t="s">
        <v>1106</v>
      </c>
      <c r="AL311" s="71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1.25" customHeight="1">
      <c r="A312" s="303" t="s">
        <v>1032</v>
      </c>
      <c r="E312" s="10"/>
      <c r="F312" s="1446"/>
      <c r="G312" s="1447"/>
      <c r="H312" s="1442" t="s">
        <v>159</v>
      </c>
      <c r="I312" s="1454"/>
      <c r="J312" s="1465"/>
      <c r="K312" s="1456"/>
      <c r="L312" s="1169"/>
      <c r="M312" s="1170"/>
      <c r="N312" s="1459"/>
      <c r="O312" s="1460">
        <v>1</v>
      </c>
      <c r="P312" s="1461" t="s">
        <v>62</v>
      </c>
      <c r="Q312" s="1455" t="s">
        <v>1071</v>
      </c>
      <c r="R312" s="1464" t="s">
        <v>1072</v>
      </c>
      <c r="S312" s="1464" t="s">
        <v>100</v>
      </c>
      <c r="T312" s="1464" t="s">
        <v>100</v>
      </c>
      <c r="U312" s="1464" t="s">
        <v>101</v>
      </c>
      <c r="V312" s="1464" t="s">
        <v>1073</v>
      </c>
      <c r="W312" s="1464" t="s">
        <v>1074</v>
      </c>
      <c r="X312" s="1464" t="s">
        <v>1075</v>
      </c>
      <c r="Y312" s="1464" t="s">
        <v>1076</v>
      </c>
      <c r="Z312" s="675"/>
      <c r="AA312" s="676"/>
      <c r="AB312" s="676"/>
      <c r="AC312" s="680"/>
      <c r="AD312" s="680"/>
      <c r="AE312" s="681"/>
      <c r="AF312" s="1457"/>
      <c r="AG312" s="1458"/>
      <c r="AH312" s="1458"/>
      <c r="AI312" s="1457"/>
      <c r="AJ312" s="1458"/>
      <c r="AK312" s="1458"/>
      <c r="AL312" s="71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59.25" customHeight="1">
      <c r="A313" s="303" t="s">
        <v>1032</v>
      </c>
      <c r="E313" s="10"/>
      <c r="F313" s="1446"/>
      <c r="G313" s="1447"/>
      <c r="H313" s="1442" t="s">
        <v>159</v>
      </c>
      <c r="I313" s="1454"/>
      <c r="J313" s="1465"/>
      <c r="K313" s="1456"/>
      <c r="L313" s="1169"/>
      <c r="M313" s="1170"/>
      <c r="N313" s="1459"/>
      <c r="O313" s="1460"/>
      <c r="P313" s="1462"/>
      <c r="Q313" s="1455"/>
      <c r="R313" s="1415"/>
      <c r="S313" s="1464"/>
      <c r="T313" s="1415"/>
      <c r="U313" s="1415"/>
      <c r="V313" s="1415"/>
      <c r="W313" s="1415"/>
      <c r="X313" s="1415"/>
      <c r="Y313" s="1415"/>
      <c r="Z313" s="987"/>
      <c r="AA313" s="978">
        <v>1</v>
      </c>
      <c r="AB313" s="679" t="s">
        <v>1088</v>
      </c>
      <c r="AC313" s="380">
        <v>5094.3500000000004</v>
      </c>
      <c r="AD313" s="679" t="str">
        <f>AB313</f>
        <v xml:space="preserve">     Амортизационные отчисления за исключением переоценки основных средств и нематериальных активов</v>
      </c>
      <c r="AE313" s="380">
        <f>9210.06/2</f>
        <v>4605.03</v>
      </c>
      <c r="AF313" s="1457"/>
      <c r="AG313" s="1458"/>
      <c r="AH313" s="1458"/>
      <c r="AI313" s="1457"/>
      <c r="AJ313" s="1458"/>
      <c r="AK313" s="1458"/>
      <c r="AL313" s="71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1.25" customHeight="1">
      <c r="A314" s="303" t="s">
        <v>1032</v>
      </c>
      <c r="E314" s="10"/>
      <c r="F314" s="1446"/>
      <c r="G314" s="1447"/>
      <c r="H314" s="1442" t="s">
        <v>159</v>
      </c>
      <c r="I314" s="1454"/>
      <c r="J314" s="1465"/>
      <c r="K314" s="1456"/>
      <c r="L314" s="1169"/>
      <c r="M314" s="1170"/>
      <c r="N314" s="1459"/>
      <c r="O314" s="1460"/>
      <c r="P314" s="1463"/>
      <c r="Q314" s="1455"/>
      <c r="R314" s="1415"/>
      <c r="S314" s="1464"/>
      <c r="T314" s="1415"/>
      <c r="U314" s="1415"/>
      <c r="V314" s="1415"/>
      <c r="W314" s="1415"/>
      <c r="X314" s="1415"/>
      <c r="Y314" s="1415"/>
      <c r="Z314" s="675"/>
      <c r="AA314" s="676"/>
      <c r="AB314" s="110" t="s">
        <v>1078</v>
      </c>
      <c r="AC314" s="680"/>
      <c r="AD314" s="680"/>
      <c r="AE314" s="682"/>
      <c r="AF314" s="1457"/>
      <c r="AG314" s="1458"/>
      <c r="AH314" s="1458"/>
      <c r="AI314" s="1457"/>
      <c r="AJ314" s="1458"/>
      <c r="AK314" s="1458"/>
      <c r="AL314" s="71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11.25" customHeight="1">
      <c r="A315" s="303" t="s">
        <v>1032</v>
      </c>
      <c r="E315" s="10"/>
      <c r="F315" s="1446"/>
      <c r="G315" s="1447"/>
      <c r="H315" s="1447"/>
      <c r="I315" s="1467"/>
      <c r="J315" s="1467"/>
      <c r="K315" s="1473"/>
      <c r="L315" s="1467"/>
      <c r="M315" s="1447"/>
      <c r="N315" s="1182" t="s">
        <v>122</v>
      </c>
      <c r="O315" s="1483" t="s">
        <v>110</v>
      </c>
      <c r="P315" s="1461" t="s">
        <v>62</v>
      </c>
      <c r="Q315" s="1455" t="s">
        <v>1085</v>
      </c>
      <c r="R315" s="1464" t="s">
        <v>1072</v>
      </c>
      <c r="S315" s="1464" t="s">
        <v>100</v>
      </c>
      <c r="T315" s="1464" t="s">
        <v>100</v>
      </c>
      <c r="U315" s="1464" t="s">
        <v>101</v>
      </c>
      <c r="V315" s="1464" t="s">
        <v>1073</v>
      </c>
      <c r="W315" s="1464" t="s">
        <v>1074</v>
      </c>
      <c r="X315" s="1464" t="s">
        <v>1086</v>
      </c>
      <c r="Y315" s="1464" t="s">
        <v>1087</v>
      </c>
      <c r="Z315" s="675"/>
      <c r="AA315" s="676"/>
      <c r="AB315" s="676"/>
      <c r="AC315" s="680"/>
      <c r="AD315" s="680"/>
      <c r="AE315" s="680"/>
      <c r="AF315" s="1474"/>
      <c r="AG315" s="1477"/>
      <c r="AH315" s="1477"/>
      <c r="AI315" s="1474"/>
      <c r="AJ315" s="1477"/>
      <c r="AK315" s="1478"/>
      <c r="AL315" s="71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53.25" customHeight="1">
      <c r="A316" s="303" t="s">
        <v>1032</v>
      </c>
      <c r="E316" s="10"/>
      <c r="F316" s="1446"/>
      <c r="G316" s="1447"/>
      <c r="H316" s="1447"/>
      <c r="I316" s="1468"/>
      <c r="J316" s="1468"/>
      <c r="K316" s="1473"/>
      <c r="L316" s="1468"/>
      <c r="M316" s="1447"/>
      <c r="N316" s="1459"/>
      <c r="O316" s="1483">
        <v>1</v>
      </c>
      <c r="P316" s="1462"/>
      <c r="Q316" s="1455"/>
      <c r="R316" s="1415"/>
      <c r="S316" s="1464"/>
      <c r="T316" s="1415"/>
      <c r="U316" s="1415"/>
      <c r="V316" s="1415"/>
      <c r="W316" s="1415"/>
      <c r="X316" s="1415"/>
      <c r="Y316" s="1415"/>
      <c r="Z316" s="987"/>
      <c r="AA316" s="978">
        <v>1</v>
      </c>
      <c r="AB316" s="679" t="s">
        <v>1088</v>
      </c>
      <c r="AC316" s="380">
        <v>5094.34</v>
      </c>
      <c r="AD316" s="679" t="str">
        <f>AB316</f>
        <v xml:space="preserve">     Амортизационные отчисления за исключением переоценки основных средств и нематериальных активов</v>
      </c>
      <c r="AE316" s="421">
        <f>9210.06/2</f>
        <v>4605.03</v>
      </c>
      <c r="AF316" s="1475"/>
      <c r="AG316" s="1477"/>
      <c r="AH316" s="1477"/>
      <c r="AI316" s="1475"/>
      <c r="AJ316" s="1477"/>
      <c r="AK316" s="1478"/>
      <c r="AL316" s="71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1.25" customHeight="1">
      <c r="A317" s="303" t="s">
        <v>1032</v>
      </c>
      <c r="E317" s="10"/>
      <c r="F317" s="1446"/>
      <c r="G317" s="1447"/>
      <c r="H317" s="1447"/>
      <c r="I317" s="1469"/>
      <c r="J317" s="1469"/>
      <c r="K317" s="1473"/>
      <c r="L317" s="1469"/>
      <c r="M317" s="1447"/>
      <c r="N317" s="1459"/>
      <c r="O317" s="1483">
        <v>1</v>
      </c>
      <c r="P317" s="1463"/>
      <c r="Q317" s="1455"/>
      <c r="R317" s="1415"/>
      <c r="S317" s="1464"/>
      <c r="T317" s="1415"/>
      <c r="U317" s="1415"/>
      <c r="V317" s="1415"/>
      <c r="W317" s="1415"/>
      <c r="X317" s="1415"/>
      <c r="Y317" s="1415"/>
      <c r="Z317" s="675"/>
      <c r="AA317" s="676"/>
      <c r="AB317" s="110" t="s">
        <v>1078</v>
      </c>
      <c r="AC317" s="680"/>
      <c r="AD317" s="680"/>
      <c r="AE317" s="680"/>
      <c r="AF317" s="1476"/>
      <c r="AG317" s="1477"/>
      <c r="AH317" s="1477"/>
      <c r="AI317" s="1476"/>
      <c r="AJ317" s="1477"/>
      <c r="AK317" s="1478"/>
      <c r="AL317" s="71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1.25" customHeight="1">
      <c r="A318" s="303" t="s">
        <v>1032</v>
      </c>
      <c r="E318" s="10"/>
      <c r="F318" s="1446"/>
      <c r="G318" s="1447"/>
      <c r="H318" s="1442" t="s">
        <v>159</v>
      </c>
      <c r="I318" s="1454"/>
      <c r="J318" s="1465"/>
      <c r="K318" s="1456"/>
      <c r="L318" s="1169"/>
      <c r="M318" s="1170"/>
      <c r="N318" s="675"/>
      <c r="O318" s="676"/>
      <c r="P318" s="110" t="s">
        <v>1079</v>
      </c>
      <c r="Q318" s="676"/>
      <c r="R318" s="676"/>
      <c r="S318" s="676"/>
      <c r="T318" s="676"/>
      <c r="U318" s="676"/>
      <c r="V318" s="676"/>
      <c r="W318" s="676"/>
      <c r="X318" s="676"/>
      <c r="Y318" s="676"/>
      <c r="Z318" s="676"/>
      <c r="AA318" s="676"/>
      <c r="AB318" s="676"/>
      <c r="AC318" s="676"/>
      <c r="AD318" s="676"/>
      <c r="AE318" s="683"/>
      <c r="AF318" s="1457"/>
      <c r="AG318" s="1458"/>
      <c r="AH318" s="1458"/>
      <c r="AI318" s="1457"/>
      <c r="AJ318" s="1458"/>
      <c r="AK318" s="1458"/>
      <c r="AL318" s="71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11.25" customHeight="1">
      <c r="A319" s="303" t="s">
        <v>1032</v>
      </c>
      <c r="B319" s="303" t="s">
        <v>22</v>
      </c>
      <c r="E319" s="10"/>
      <c r="F319" s="1446"/>
      <c r="G319" s="1182" t="s">
        <v>122</v>
      </c>
      <c r="H319" s="1442" t="s">
        <v>161</v>
      </c>
      <c r="I319" s="1454" t="s">
        <v>1148</v>
      </c>
      <c r="J319" s="1465" t="s">
        <v>22</v>
      </c>
      <c r="K319" s="1456" t="s">
        <v>1161</v>
      </c>
      <c r="L319" s="1169" t="s">
        <v>19</v>
      </c>
      <c r="M319" s="1170"/>
      <c r="N319" s="1053"/>
      <c r="O319" s="677" t="s">
        <v>382</v>
      </c>
      <c r="P319" s="678"/>
      <c r="Q319" s="678"/>
      <c r="R319" s="678"/>
      <c r="S319" s="678"/>
      <c r="T319" s="678"/>
      <c r="U319" s="678"/>
      <c r="V319" s="678"/>
      <c r="W319" s="678"/>
      <c r="X319" s="678"/>
      <c r="Y319" s="678"/>
      <c r="Z319" s="678"/>
      <c r="AA319" s="678"/>
      <c r="AB319" s="678"/>
      <c r="AC319" s="678"/>
      <c r="AD319" s="678"/>
      <c r="AE319" s="678"/>
      <c r="AF319" s="1457">
        <v>2024</v>
      </c>
      <c r="AG319" s="1458" t="s">
        <v>1070</v>
      </c>
      <c r="AH319" s="1458" t="s">
        <v>1106</v>
      </c>
      <c r="AI319" s="1457">
        <v>2024</v>
      </c>
      <c r="AJ319" s="1458" t="s">
        <v>1070</v>
      </c>
      <c r="AK319" s="1458" t="s">
        <v>1106</v>
      </c>
      <c r="AL319" s="71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11.25" customHeight="1">
      <c r="A320" s="303" t="s">
        <v>1032</v>
      </c>
      <c r="E320" s="10"/>
      <c r="F320" s="1446"/>
      <c r="G320" s="1447"/>
      <c r="H320" s="1442" t="s">
        <v>160</v>
      </c>
      <c r="I320" s="1454"/>
      <c r="J320" s="1465"/>
      <c r="K320" s="1456"/>
      <c r="L320" s="1169"/>
      <c r="M320" s="1170"/>
      <c r="N320" s="1459"/>
      <c r="O320" s="1460">
        <v>1</v>
      </c>
      <c r="P320" s="1461" t="s">
        <v>19</v>
      </c>
      <c r="Q320" s="1415" t="s">
        <v>22</v>
      </c>
      <c r="R320" s="1415" t="s">
        <v>22</v>
      </c>
      <c r="S320" s="1415" t="s">
        <v>22</v>
      </c>
      <c r="T320" s="1415" t="s">
        <v>22</v>
      </c>
      <c r="U320" s="1415" t="s">
        <v>22</v>
      </c>
      <c r="V320" s="1415" t="s">
        <v>22</v>
      </c>
      <c r="W320" s="1415" t="s">
        <v>22</v>
      </c>
      <c r="X320" s="1415" t="s">
        <v>22</v>
      </c>
      <c r="Y320" s="1415"/>
      <c r="Z320" s="675"/>
      <c r="AA320" s="676"/>
      <c r="AB320" s="676"/>
      <c r="AC320" s="680"/>
      <c r="AD320" s="680"/>
      <c r="AE320" s="681"/>
      <c r="AF320" s="1457"/>
      <c r="AG320" s="1458"/>
      <c r="AH320" s="1458"/>
      <c r="AI320" s="1457"/>
      <c r="AJ320" s="1458"/>
      <c r="AK320" s="1458"/>
      <c r="AL320" s="71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58.5" customHeight="1">
      <c r="A321" s="303" t="s">
        <v>1032</v>
      </c>
      <c r="E321" s="10"/>
      <c r="F321" s="1446"/>
      <c r="G321" s="1447"/>
      <c r="H321" s="1442" t="s">
        <v>160</v>
      </c>
      <c r="I321" s="1454"/>
      <c r="J321" s="1465"/>
      <c r="K321" s="1456"/>
      <c r="L321" s="1169"/>
      <c r="M321" s="1170"/>
      <c r="N321" s="1459"/>
      <c r="O321" s="1460"/>
      <c r="P321" s="1462"/>
      <c r="Q321" s="1415"/>
      <c r="R321" s="1415"/>
      <c r="S321" s="1464"/>
      <c r="T321" s="1415"/>
      <c r="U321" s="1415"/>
      <c r="V321" s="1415"/>
      <c r="W321" s="1415"/>
      <c r="X321" s="1415"/>
      <c r="Y321" s="1415"/>
      <c r="Z321" s="987"/>
      <c r="AA321" s="978">
        <v>1</v>
      </c>
      <c r="AB321" s="679" t="s">
        <v>1088</v>
      </c>
      <c r="AC321" s="380">
        <v>63106.55</v>
      </c>
      <c r="AD321" s="679" t="str">
        <f>AB321</f>
        <v xml:space="preserve">     Амортизационные отчисления за исключением переоценки основных средств и нематериальных активов</v>
      </c>
      <c r="AE321" s="380">
        <v>61179.16</v>
      </c>
      <c r="AF321" s="1457"/>
      <c r="AG321" s="1458"/>
      <c r="AH321" s="1458"/>
      <c r="AI321" s="1457"/>
      <c r="AJ321" s="1458"/>
      <c r="AK321" s="1458"/>
      <c r="AL321" s="71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11.25" customHeight="1">
      <c r="A322" s="303" t="s">
        <v>1032</v>
      </c>
      <c r="E322" s="10"/>
      <c r="F322" s="1446"/>
      <c r="G322" s="1447"/>
      <c r="H322" s="1442" t="s">
        <v>160</v>
      </c>
      <c r="I322" s="1454"/>
      <c r="J322" s="1465"/>
      <c r="K322" s="1456"/>
      <c r="L322" s="1169"/>
      <c r="M322" s="1170"/>
      <c r="N322" s="1459"/>
      <c r="O322" s="1460"/>
      <c r="P322" s="1463"/>
      <c r="Q322" s="1415"/>
      <c r="R322" s="1415"/>
      <c r="S322" s="1464"/>
      <c r="T322" s="1415"/>
      <c r="U322" s="1415"/>
      <c r="V322" s="1415"/>
      <c r="W322" s="1415"/>
      <c r="X322" s="1415"/>
      <c r="Y322" s="1415"/>
      <c r="Z322" s="675"/>
      <c r="AA322" s="676"/>
      <c r="AB322" s="110" t="s">
        <v>1078</v>
      </c>
      <c r="AC322" s="680"/>
      <c r="AD322" s="680"/>
      <c r="AE322" s="682"/>
      <c r="AF322" s="1457"/>
      <c r="AG322" s="1458"/>
      <c r="AH322" s="1458"/>
      <c r="AI322" s="1457"/>
      <c r="AJ322" s="1458"/>
      <c r="AK322" s="1458"/>
      <c r="AL322" s="71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11.25" customHeight="1">
      <c r="A323" s="303" t="s">
        <v>1032</v>
      </c>
      <c r="E323" s="10"/>
      <c r="F323" s="1446"/>
      <c r="G323" s="1447"/>
      <c r="H323" s="1442" t="s">
        <v>160</v>
      </c>
      <c r="I323" s="1454"/>
      <c r="J323" s="1465"/>
      <c r="K323" s="1456"/>
      <c r="L323" s="1169"/>
      <c r="M323" s="1170"/>
      <c r="N323" s="675"/>
      <c r="O323" s="676"/>
      <c r="P323" s="110" t="s">
        <v>1079</v>
      </c>
      <c r="Q323" s="676"/>
      <c r="R323" s="676"/>
      <c r="S323" s="676"/>
      <c r="T323" s="676"/>
      <c r="U323" s="676"/>
      <c r="V323" s="676"/>
      <c r="W323" s="676"/>
      <c r="X323" s="676"/>
      <c r="Y323" s="676"/>
      <c r="Z323" s="676"/>
      <c r="AA323" s="676"/>
      <c r="AB323" s="676"/>
      <c r="AC323" s="676"/>
      <c r="AD323" s="676"/>
      <c r="AE323" s="683"/>
      <c r="AF323" s="1457"/>
      <c r="AG323" s="1458"/>
      <c r="AH323" s="1458"/>
      <c r="AI323" s="1457"/>
      <c r="AJ323" s="1458"/>
      <c r="AK323" s="1458"/>
      <c r="AL323" s="71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2" customHeight="1">
      <c r="A324" s="303" t="s">
        <v>1032</v>
      </c>
      <c r="E324" s="10"/>
      <c r="F324" s="1448"/>
      <c r="G324" s="688"/>
      <c r="H324" s="688"/>
      <c r="I324" s="1444" t="s">
        <v>1166</v>
      </c>
      <c r="J324" s="1444"/>
      <c r="K324" s="1444"/>
      <c r="L324" s="673"/>
      <c r="M324" s="673"/>
      <c r="N324" s="674"/>
      <c r="O324" s="674"/>
      <c r="P324" s="674"/>
      <c r="Q324" s="674"/>
      <c r="R324" s="674"/>
      <c r="S324" s="674"/>
      <c r="T324" s="674"/>
      <c r="U324" s="674"/>
      <c r="V324" s="674"/>
      <c r="W324" s="674"/>
      <c r="X324" s="674"/>
      <c r="Y324" s="674"/>
      <c r="Z324" s="674"/>
      <c r="AA324" s="674"/>
      <c r="AB324" s="674"/>
      <c r="AC324" s="674"/>
      <c r="AD324" s="674"/>
      <c r="AE324" s="674"/>
      <c r="AF324" s="674"/>
      <c r="AG324" s="673"/>
      <c r="AH324" s="673"/>
      <c r="AI324" s="674"/>
      <c r="AJ324" s="673"/>
      <c r="AK324" s="674"/>
      <c r="AL324" s="71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0.75" customHeight="1">
      <c r="A325" s="303" t="s">
        <v>1032</v>
      </c>
      <c r="E325" s="10"/>
      <c r="F325" s="1445">
        <v>2025</v>
      </c>
      <c r="G325" s="1442"/>
      <c r="H325" s="1450" t="s">
        <v>382</v>
      </c>
      <c r="I325" s="1451"/>
      <c r="J325" s="1441"/>
      <c r="K325" s="1441"/>
      <c r="L325" s="1443"/>
      <c r="M325" s="1290"/>
      <c r="N325" s="1067"/>
      <c r="O325" s="1066"/>
      <c r="P325" s="1067"/>
      <c r="Q325" s="1067"/>
      <c r="R325" s="1067"/>
      <c r="S325" s="1067"/>
      <c r="T325" s="1067"/>
      <c r="U325" s="1067"/>
      <c r="V325" s="1067"/>
      <c r="W325" s="1067"/>
      <c r="X325" s="1067"/>
      <c r="Y325" s="1067"/>
      <c r="Z325" s="1067"/>
      <c r="AA325" s="1067"/>
      <c r="AB325" s="1067"/>
      <c r="AC325" s="1067"/>
      <c r="AD325" s="1067"/>
      <c r="AE325" s="1067"/>
      <c r="AF325" s="1449"/>
      <c r="AG325" s="1443"/>
      <c r="AH325" s="1443"/>
      <c r="AI325" s="1449"/>
      <c r="AJ325" s="1443"/>
      <c r="AK325" s="1443"/>
      <c r="AL325" s="71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0.75" customHeight="1">
      <c r="A326" s="303" t="s">
        <v>1032</v>
      </c>
      <c r="E326" s="10"/>
      <c r="F326" s="1445"/>
      <c r="G326" s="1442"/>
      <c r="H326" s="1450"/>
      <c r="I326" s="1451"/>
      <c r="J326" s="1441"/>
      <c r="K326" s="1441"/>
      <c r="L326" s="1443"/>
      <c r="M326" s="1290"/>
      <c r="N326" s="1452"/>
      <c r="O326" s="1453"/>
      <c r="P326" s="1438"/>
      <c r="Q326" s="1441"/>
      <c r="R326" s="1441"/>
      <c r="S326" s="1441"/>
      <c r="T326" s="1441"/>
      <c r="U326" s="1441"/>
      <c r="V326" s="1441"/>
      <c r="W326" s="1441"/>
      <c r="X326" s="1441"/>
      <c r="Y326" s="1441"/>
      <c r="Z326" s="1068"/>
      <c r="AA326" s="1069"/>
      <c r="AB326" s="1069"/>
      <c r="AC326" s="1070"/>
      <c r="AD326" s="1070"/>
      <c r="AE326" s="1071"/>
      <c r="AF326" s="1449"/>
      <c r="AG326" s="1443"/>
      <c r="AH326" s="1443"/>
      <c r="AI326" s="1449"/>
      <c r="AJ326" s="1443"/>
      <c r="AK326" s="1443"/>
      <c r="AL326" s="71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0.75" customHeight="1">
      <c r="A327" s="303" t="s">
        <v>1032</v>
      </c>
      <c r="E327" s="10"/>
      <c r="F327" s="1445"/>
      <c r="G327" s="1442"/>
      <c r="H327" s="1450"/>
      <c r="I327" s="1451"/>
      <c r="J327" s="1441"/>
      <c r="K327" s="1441"/>
      <c r="L327" s="1443"/>
      <c r="M327" s="1290"/>
      <c r="N327" s="1452"/>
      <c r="O327" s="1453"/>
      <c r="P327" s="1439"/>
      <c r="Q327" s="1441"/>
      <c r="R327" s="1441"/>
      <c r="S327" s="1441"/>
      <c r="T327" s="1441"/>
      <c r="U327" s="1441"/>
      <c r="V327" s="1441"/>
      <c r="W327" s="1441"/>
      <c r="X327" s="1441"/>
      <c r="Y327" s="1441"/>
      <c r="Z327" s="1072"/>
      <c r="AA327" s="1073"/>
      <c r="AB327" s="1074"/>
      <c r="AC327" s="1075"/>
      <c r="AD327" s="1074"/>
      <c r="AE327" s="1075"/>
      <c r="AF327" s="1449"/>
      <c r="AG327" s="1443"/>
      <c r="AH327" s="1443"/>
      <c r="AI327" s="1449"/>
      <c r="AJ327" s="1443"/>
      <c r="AK327" s="1443"/>
      <c r="AL327" s="71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0.75" customHeight="1">
      <c r="A328" s="303" t="s">
        <v>1032</v>
      </c>
      <c r="E328" s="10"/>
      <c r="F328" s="1445"/>
      <c r="G328" s="1442"/>
      <c r="H328" s="1450"/>
      <c r="I328" s="1451"/>
      <c r="J328" s="1441"/>
      <c r="K328" s="1441"/>
      <c r="L328" s="1443"/>
      <c r="M328" s="1290"/>
      <c r="N328" s="1452"/>
      <c r="O328" s="1453"/>
      <c r="P328" s="1440"/>
      <c r="Q328" s="1441"/>
      <c r="R328" s="1441"/>
      <c r="S328" s="1441"/>
      <c r="T328" s="1441"/>
      <c r="U328" s="1441"/>
      <c r="V328" s="1441"/>
      <c r="W328" s="1441"/>
      <c r="X328" s="1441"/>
      <c r="Y328" s="1441"/>
      <c r="Z328" s="1068"/>
      <c r="AA328" s="1069"/>
      <c r="AB328" s="1076"/>
      <c r="AC328" s="1070"/>
      <c r="AD328" s="1070"/>
      <c r="AE328" s="1077"/>
      <c r="AF328" s="1449"/>
      <c r="AG328" s="1443"/>
      <c r="AH328" s="1443"/>
      <c r="AI328" s="1449"/>
      <c r="AJ328" s="1443"/>
      <c r="AK328" s="1443"/>
      <c r="AL328" s="71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0.75" customHeight="1">
      <c r="A329" s="303" t="s">
        <v>1032</v>
      </c>
      <c r="E329" s="10"/>
      <c r="F329" s="1445"/>
      <c r="G329" s="1442"/>
      <c r="H329" s="1450"/>
      <c r="I329" s="1451"/>
      <c r="J329" s="1441"/>
      <c r="K329" s="1441"/>
      <c r="L329" s="1443"/>
      <c r="M329" s="1290"/>
      <c r="N329" s="1069"/>
      <c r="O329" s="1069"/>
      <c r="P329" s="1076"/>
      <c r="Q329" s="1069"/>
      <c r="R329" s="1069"/>
      <c r="S329" s="1069"/>
      <c r="T329" s="1069"/>
      <c r="U329" s="1069"/>
      <c r="V329" s="1069"/>
      <c r="W329" s="1069"/>
      <c r="X329" s="1069"/>
      <c r="Y329" s="1069"/>
      <c r="Z329" s="1069"/>
      <c r="AA329" s="1069"/>
      <c r="AB329" s="1069"/>
      <c r="AC329" s="1069"/>
      <c r="AD329" s="1069"/>
      <c r="AE329" s="1078"/>
      <c r="AF329" s="1449"/>
      <c r="AG329" s="1443"/>
      <c r="AH329" s="1443"/>
      <c r="AI329" s="1449"/>
      <c r="AJ329" s="1443"/>
      <c r="AK329" s="1443"/>
      <c r="AL329" s="71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1.25" customHeight="1">
      <c r="A330" s="303" t="s">
        <v>1032</v>
      </c>
      <c r="B330" s="303" t="s">
        <v>22</v>
      </c>
      <c r="E330" s="10"/>
      <c r="F330" s="1446"/>
      <c r="G330" s="1182" t="s">
        <v>122</v>
      </c>
      <c r="H330" s="1442" t="s">
        <v>109</v>
      </c>
      <c r="I330" s="1454" t="s">
        <v>1082</v>
      </c>
      <c r="J330" s="1465" t="s">
        <v>22</v>
      </c>
      <c r="K330" s="1456" t="s">
        <v>1167</v>
      </c>
      <c r="L330" s="1169" t="s">
        <v>19</v>
      </c>
      <c r="M330" s="1170"/>
      <c r="N330" s="1053"/>
      <c r="O330" s="677" t="s">
        <v>382</v>
      </c>
      <c r="P330" s="678"/>
      <c r="Q330" s="678"/>
      <c r="R330" s="678"/>
      <c r="S330" s="678"/>
      <c r="T330" s="678"/>
      <c r="U330" s="678"/>
      <c r="V330" s="678"/>
      <c r="W330" s="678"/>
      <c r="X330" s="678"/>
      <c r="Y330" s="678"/>
      <c r="Z330" s="678"/>
      <c r="AA330" s="678"/>
      <c r="AB330" s="678"/>
      <c r="AC330" s="678"/>
      <c r="AD330" s="678"/>
      <c r="AE330" s="678"/>
      <c r="AF330" s="1457">
        <v>2025</v>
      </c>
      <c r="AG330" s="1458" t="s">
        <v>1081</v>
      </c>
      <c r="AH330" s="1458" t="s">
        <v>1122</v>
      </c>
      <c r="AI330" s="1466"/>
      <c r="AJ330" s="1458" t="s">
        <v>1084</v>
      </c>
      <c r="AK330" s="1458" t="s">
        <v>1084</v>
      </c>
      <c r="AL330" s="71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11.25" customHeight="1">
      <c r="A331" s="303" t="s">
        <v>1032</v>
      </c>
      <c r="E331" s="10"/>
      <c r="F331" s="1446"/>
      <c r="G331" s="1447"/>
      <c r="H331" s="1442" t="s">
        <v>382</v>
      </c>
      <c r="I331" s="1454"/>
      <c r="J331" s="1465"/>
      <c r="K331" s="1456"/>
      <c r="L331" s="1169"/>
      <c r="M331" s="1170"/>
      <c r="N331" s="1459"/>
      <c r="O331" s="1460">
        <v>1</v>
      </c>
      <c r="P331" s="1461" t="s">
        <v>62</v>
      </c>
      <c r="Q331" s="1455" t="s">
        <v>1071</v>
      </c>
      <c r="R331" s="1464" t="s">
        <v>1072</v>
      </c>
      <c r="S331" s="1464" t="s">
        <v>100</v>
      </c>
      <c r="T331" s="1464" t="s">
        <v>100</v>
      </c>
      <c r="U331" s="1464" t="s">
        <v>101</v>
      </c>
      <c r="V331" s="1464" t="s">
        <v>1073</v>
      </c>
      <c r="W331" s="1464" t="s">
        <v>1074</v>
      </c>
      <c r="X331" s="1464" t="s">
        <v>1075</v>
      </c>
      <c r="Y331" s="1464" t="s">
        <v>1076</v>
      </c>
      <c r="Z331" s="675"/>
      <c r="AA331" s="676"/>
      <c r="AB331" s="676"/>
      <c r="AC331" s="680"/>
      <c r="AD331" s="680"/>
      <c r="AE331" s="681"/>
      <c r="AF331" s="1457"/>
      <c r="AG331" s="1458"/>
      <c r="AH331" s="1458"/>
      <c r="AI331" s="1466"/>
      <c r="AJ331" s="1458"/>
      <c r="AK331" s="1458"/>
      <c r="AL331" s="71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32.25" customHeight="1">
      <c r="A332" s="303" t="s">
        <v>1032</v>
      </c>
      <c r="E332" s="10"/>
      <c r="F332" s="1446"/>
      <c r="G332" s="1447"/>
      <c r="H332" s="1442" t="s">
        <v>382</v>
      </c>
      <c r="I332" s="1454"/>
      <c r="J332" s="1465"/>
      <c r="K332" s="1456"/>
      <c r="L332" s="1169"/>
      <c r="M332" s="1170"/>
      <c r="N332" s="1459"/>
      <c r="O332" s="1460"/>
      <c r="P332" s="1462"/>
      <c r="Q332" s="1455"/>
      <c r="R332" s="1415"/>
      <c r="S332" s="1464"/>
      <c r="T332" s="1415"/>
      <c r="U332" s="1415"/>
      <c r="V332" s="1415"/>
      <c r="W332" s="1415"/>
      <c r="X332" s="1415"/>
      <c r="Y332" s="1415"/>
      <c r="Z332" s="987"/>
      <c r="AA332" s="978">
        <v>1</v>
      </c>
      <c r="AB332" s="679" t="s">
        <v>1088</v>
      </c>
      <c r="AC332" s="380">
        <v>5306.82</v>
      </c>
      <c r="AD332" s="679" t="str">
        <f>AB332</f>
        <v xml:space="preserve">     Амортизационные отчисления за исключением переоценки основных средств и нематериальных активов</v>
      </c>
      <c r="AE332" s="380">
        <v>6030.92</v>
      </c>
      <c r="AF332" s="1457"/>
      <c r="AG332" s="1458"/>
      <c r="AH332" s="1458"/>
      <c r="AI332" s="1466"/>
      <c r="AJ332" s="1458"/>
      <c r="AK332" s="1458"/>
      <c r="AL332" s="71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1.25" customHeight="1">
      <c r="A333" s="303" t="s">
        <v>1032</v>
      </c>
      <c r="E333" s="10"/>
      <c r="F333" s="1446"/>
      <c r="G333" s="1447"/>
      <c r="H333" s="1442" t="s">
        <v>382</v>
      </c>
      <c r="I333" s="1454"/>
      <c r="J333" s="1465"/>
      <c r="K333" s="1456"/>
      <c r="L333" s="1169"/>
      <c r="M333" s="1170"/>
      <c r="N333" s="1459"/>
      <c r="O333" s="1460"/>
      <c r="P333" s="1463"/>
      <c r="Q333" s="1455"/>
      <c r="R333" s="1415"/>
      <c r="S333" s="1464"/>
      <c r="T333" s="1415"/>
      <c r="U333" s="1415"/>
      <c r="V333" s="1415"/>
      <c r="W333" s="1415"/>
      <c r="X333" s="1415"/>
      <c r="Y333" s="1415"/>
      <c r="Z333" s="675"/>
      <c r="AA333" s="676"/>
      <c r="AB333" s="110" t="s">
        <v>1078</v>
      </c>
      <c r="AC333" s="680"/>
      <c r="AD333" s="680"/>
      <c r="AE333" s="682"/>
      <c r="AF333" s="1457"/>
      <c r="AG333" s="1458"/>
      <c r="AH333" s="1458"/>
      <c r="AI333" s="1466"/>
      <c r="AJ333" s="1458"/>
      <c r="AK333" s="1458"/>
      <c r="AL333" s="71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1.25" customHeight="1">
      <c r="A334" s="303" t="s">
        <v>1032</v>
      </c>
      <c r="E334" s="10"/>
      <c r="F334" s="1446"/>
      <c r="G334" s="1447"/>
      <c r="H334" s="1442" t="s">
        <v>382</v>
      </c>
      <c r="I334" s="1454"/>
      <c r="J334" s="1465"/>
      <c r="K334" s="1456"/>
      <c r="L334" s="1169"/>
      <c r="M334" s="1170"/>
      <c r="N334" s="675"/>
      <c r="O334" s="676"/>
      <c r="P334" s="110" t="s">
        <v>1079</v>
      </c>
      <c r="Q334" s="676"/>
      <c r="R334" s="676"/>
      <c r="S334" s="676"/>
      <c r="T334" s="676"/>
      <c r="U334" s="676"/>
      <c r="V334" s="676"/>
      <c r="W334" s="676"/>
      <c r="X334" s="676"/>
      <c r="Y334" s="676"/>
      <c r="Z334" s="676"/>
      <c r="AA334" s="676"/>
      <c r="AB334" s="676"/>
      <c r="AC334" s="676"/>
      <c r="AD334" s="676"/>
      <c r="AE334" s="683"/>
      <c r="AF334" s="1457"/>
      <c r="AG334" s="1458"/>
      <c r="AH334" s="1458"/>
      <c r="AI334" s="1466"/>
      <c r="AJ334" s="1458"/>
      <c r="AK334" s="1458"/>
      <c r="AL334" s="71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11.25" customHeight="1">
      <c r="A335" s="303" t="s">
        <v>1032</v>
      </c>
      <c r="B335" s="303" t="s">
        <v>1100</v>
      </c>
      <c r="E335" s="10"/>
      <c r="F335" s="1446"/>
      <c r="G335" s="1182" t="s">
        <v>122</v>
      </c>
      <c r="H335" s="1442" t="s">
        <v>110</v>
      </c>
      <c r="I335" s="1454" t="s">
        <v>1101</v>
      </c>
      <c r="J335" s="1455" t="s">
        <v>1102</v>
      </c>
      <c r="K335" s="1456" t="s">
        <v>1170</v>
      </c>
      <c r="L335" s="1169" t="s">
        <v>19</v>
      </c>
      <c r="M335" s="1170"/>
      <c r="N335" s="1053"/>
      <c r="O335" s="677" t="s">
        <v>382</v>
      </c>
      <c r="P335" s="678"/>
      <c r="Q335" s="678"/>
      <c r="R335" s="678"/>
      <c r="S335" s="678"/>
      <c r="T335" s="678"/>
      <c r="U335" s="678"/>
      <c r="V335" s="678"/>
      <c r="W335" s="678"/>
      <c r="X335" s="678"/>
      <c r="Y335" s="678"/>
      <c r="Z335" s="678"/>
      <c r="AA335" s="678"/>
      <c r="AB335" s="678"/>
      <c r="AC335" s="678"/>
      <c r="AD335" s="678"/>
      <c r="AE335" s="678"/>
      <c r="AF335" s="1457">
        <v>2025</v>
      </c>
      <c r="AG335" s="1458" t="s">
        <v>1081</v>
      </c>
      <c r="AH335" s="1458" t="s">
        <v>1122</v>
      </c>
      <c r="AI335" s="1457">
        <v>2025</v>
      </c>
      <c r="AJ335" s="1458" t="s">
        <v>1115</v>
      </c>
      <c r="AK335" s="1458" t="s">
        <v>1122</v>
      </c>
      <c r="AL335" s="71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1.25" customHeight="1">
      <c r="A336" s="303" t="s">
        <v>1032</v>
      </c>
      <c r="E336" s="10"/>
      <c r="F336" s="1446"/>
      <c r="G336" s="1447"/>
      <c r="H336" s="1442" t="s">
        <v>109</v>
      </c>
      <c r="I336" s="1454"/>
      <c r="J336" s="1455"/>
      <c r="K336" s="1456"/>
      <c r="L336" s="1169"/>
      <c r="M336" s="1170"/>
      <c r="N336" s="1459"/>
      <c r="O336" s="1460">
        <v>1</v>
      </c>
      <c r="P336" s="1461" t="s">
        <v>62</v>
      </c>
      <c r="Q336" s="1455" t="s">
        <v>1085</v>
      </c>
      <c r="R336" s="1464" t="s">
        <v>1072</v>
      </c>
      <c r="S336" s="1464" t="s">
        <v>100</v>
      </c>
      <c r="T336" s="1464" t="s">
        <v>100</v>
      </c>
      <c r="U336" s="1464" t="s">
        <v>101</v>
      </c>
      <c r="V336" s="1464" t="s">
        <v>1073</v>
      </c>
      <c r="W336" s="1464" t="s">
        <v>1074</v>
      </c>
      <c r="X336" s="1464" t="s">
        <v>1086</v>
      </c>
      <c r="Y336" s="1464" t="s">
        <v>1087</v>
      </c>
      <c r="Z336" s="675"/>
      <c r="AA336" s="676"/>
      <c r="AB336" s="676"/>
      <c r="AC336" s="680"/>
      <c r="AD336" s="680"/>
      <c r="AE336" s="681"/>
      <c r="AF336" s="1457"/>
      <c r="AG336" s="1458"/>
      <c r="AH336" s="1458"/>
      <c r="AI336" s="1457"/>
      <c r="AJ336" s="1458"/>
      <c r="AK336" s="1458"/>
      <c r="AL336" s="71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32.25" customHeight="1">
      <c r="A337" s="303" t="s">
        <v>1032</v>
      </c>
      <c r="E337" s="10"/>
      <c r="F337" s="1446"/>
      <c r="G337" s="1447"/>
      <c r="H337" s="1442" t="s">
        <v>109</v>
      </c>
      <c r="I337" s="1454"/>
      <c r="J337" s="1455"/>
      <c r="K337" s="1456"/>
      <c r="L337" s="1169"/>
      <c r="M337" s="1170"/>
      <c r="N337" s="1459"/>
      <c r="O337" s="1460"/>
      <c r="P337" s="1462"/>
      <c r="Q337" s="1455"/>
      <c r="R337" s="1415"/>
      <c r="S337" s="1464"/>
      <c r="T337" s="1415"/>
      <c r="U337" s="1415"/>
      <c r="V337" s="1415"/>
      <c r="W337" s="1415"/>
      <c r="X337" s="1415"/>
      <c r="Y337" s="1415"/>
      <c r="Z337" s="987"/>
      <c r="AA337" s="978">
        <v>1</v>
      </c>
      <c r="AB337" s="679" t="s">
        <v>1088</v>
      </c>
      <c r="AC337" s="380">
        <f>39677.13/2-AC338</f>
        <v>13035.938999999998</v>
      </c>
      <c r="AD337" s="679" t="str">
        <f>AB337</f>
        <v xml:space="preserve">     Амортизационные отчисления за исключением переоценки основных средств и нематериальных активов</v>
      </c>
      <c r="AE337" s="380">
        <v>13035.939</v>
      </c>
      <c r="AF337" s="1457"/>
      <c r="AG337" s="1458"/>
      <c r="AH337" s="1458"/>
      <c r="AI337" s="1457"/>
      <c r="AJ337" s="1458"/>
      <c r="AK337" s="1458"/>
      <c r="AL337" s="71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3.5" customHeight="1">
      <c r="A338" s="303" t="s">
        <v>1032</v>
      </c>
      <c r="E338" s="10"/>
      <c r="F338" s="1447"/>
      <c r="G338" s="1447"/>
      <c r="H338" s="1447"/>
      <c r="I338" s="1447"/>
      <c r="J338" s="1447"/>
      <c r="K338" s="1447"/>
      <c r="L338" s="1447"/>
      <c r="M338" s="1447"/>
      <c r="N338" s="1447"/>
      <c r="O338" s="1447"/>
      <c r="P338" s="1447"/>
      <c r="Q338" s="1447"/>
      <c r="R338" s="1447"/>
      <c r="S338" s="1447"/>
      <c r="T338" s="1447"/>
      <c r="U338" s="1447"/>
      <c r="V338" s="1447"/>
      <c r="W338" s="1447"/>
      <c r="X338" s="1447"/>
      <c r="Y338" s="1447"/>
      <c r="Z338" s="87" t="s">
        <v>122</v>
      </c>
      <c r="AA338" s="982" t="s">
        <v>110</v>
      </c>
      <c r="AB338" s="679" t="s">
        <v>1108</v>
      </c>
      <c r="AC338" s="380">
        <f>(11337.71*1.2)/2</f>
        <v>6802.6259999999993</v>
      </c>
      <c r="AD338" s="679" t="str">
        <f>AB338</f>
        <v xml:space="preserve">  Прочие</v>
      </c>
      <c r="AE338" s="380">
        <f>6071.98/2</f>
        <v>3035.99</v>
      </c>
      <c r="AF338" s="1479"/>
      <c r="AG338" s="1477"/>
      <c r="AH338" s="1477"/>
      <c r="AI338" s="1479"/>
      <c r="AJ338" s="1477"/>
      <c r="AK338" s="1478"/>
      <c r="AL338" s="71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1.25" customHeight="1">
      <c r="A339" s="303" t="s">
        <v>1032</v>
      </c>
      <c r="E339" s="10"/>
      <c r="F339" s="1446"/>
      <c r="G339" s="1447"/>
      <c r="H339" s="1442" t="s">
        <v>109</v>
      </c>
      <c r="I339" s="1454"/>
      <c r="J339" s="1455"/>
      <c r="K339" s="1456"/>
      <c r="L339" s="1169"/>
      <c r="M339" s="1170"/>
      <c r="N339" s="1459"/>
      <c r="O339" s="1460"/>
      <c r="P339" s="1463"/>
      <c r="Q339" s="1455"/>
      <c r="R339" s="1415"/>
      <c r="S339" s="1464"/>
      <c r="T339" s="1415"/>
      <c r="U339" s="1415"/>
      <c r="V339" s="1415"/>
      <c r="W339" s="1415"/>
      <c r="X339" s="1415"/>
      <c r="Y339" s="1415"/>
      <c r="Z339" s="675"/>
      <c r="AA339" s="676"/>
      <c r="AB339" s="110" t="s">
        <v>1078</v>
      </c>
      <c r="AC339" s="680"/>
      <c r="AD339" s="680"/>
      <c r="AE339" s="682"/>
      <c r="AF339" s="1457"/>
      <c r="AG339" s="1458"/>
      <c r="AH339" s="1458"/>
      <c r="AI339" s="1457"/>
      <c r="AJ339" s="1458"/>
      <c r="AK339" s="1458"/>
      <c r="AL339" s="71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1.25" customHeight="1">
      <c r="A340" s="303" t="s">
        <v>1032</v>
      </c>
      <c r="E340" s="10"/>
      <c r="F340" s="1446"/>
      <c r="G340" s="1447"/>
      <c r="H340" s="1447"/>
      <c r="I340" s="1467"/>
      <c r="J340" s="1467"/>
      <c r="K340" s="1473"/>
      <c r="L340" s="1467"/>
      <c r="M340" s="1447"/>
      <c r="N340" s="1182" t="s">
        <v>122</v>
      </c>
      <c r="O340" s="1483" t="s">
        <v>110</v>
      </c>
      <c r="P340" s="1461" t="s">
        <v>62</v>
      </c>
      <c r="Q340" s="1455" t="s">
        <v>1171</v>
      </c>
      <c r="R340" s="1464" t="s">
        <v>1072</v>
      </c>
      <c r="S340" s="1464" t="s">
        <v>100</v>
      </c>
      <c r="T340" s="1464" t="s">
        <v>100</v>
      </c>
      <c r="U340" s="1464" t="s">
        <v>101</v>
      </c>
      <c r="V340" s="1464" t="s">
        <v>1073</v>
      </c>
      <c r="W340" s="1464" t="s">
        <v>1074</v>
      </c>
      <c r="X340" s="1464" t="s">
        <v>1172</v>
      </c>
      <c r="Y340" s="1464" t="s">
        <v>1173</v>
      </c>
      <c r="Z340" s="675"/>
      <c r="AA340" s="676"/>
      <c r="AB340" s="676"/>
      <c r="AC340" s="680"/>
      <c r="AD340" s="680"/>
      <c r="AE340" s="680"/>
      <c r="AF340" s="1474"/>
      <c r="AG340" s="1477"/>
      <c r="AH340" s="1477"/>
      <c r="AI340" s="1474"/>
      <c r="AJ340" s="1477"/>
      <c r="AK340" s="1478"/>
      <c r="AL340" s="71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32.25" customHeight="1">
      <c r="A341" s="303" t="s">
        <v>1032</v>
      </c>
      <c r="E341" s="10"/>
      <c r="F341" s="1446"/>
      <c r="G341" s="1447"/>
      <c r="H341" s="1447"/>
      <c r="I341" s="1468"/>
      <c r="J341" s="1468"/>
      <c r="K341" s="1473"/>
      <c r="L341" s="1468"/>
      <c r="M341" s="1447"/>
      <c r="N341" s="1459"/>
      <c r="O341" s="1483">
        <v>1</v>
      </c>
      <c r="P341" s="1462"/>
      <c r="Q341" s="1455"/>
      <c r="R341" s="1415"/>
      <c r="S341" s="1464"/>
      <c r="T341" s="1415"/>
      <c r="U341" s="1415"/>
      <c r="V341" s="1415"/>
      <c r="W341" s="1415"/>
      <c r="X341" s="1415"/>
      <c r="Y341" s="1415"/>
      <c r="Z341" s="987"/>
      <c r="AA341" s="978">
        <v>1</v>
      </c>
      <c r="AB341" s="679" t="s">
        <v>1088</v>
      </c>
      <c r="AC341" s="380">
        <v>13035.94</v>
      </c>
      <c r="AD341" s="679" t="str">
        <f>AB341</f>
        <v xml:space="preserve">     Амортизационные отчисления за исключением переоценки основных средств и нематериальных активов</v>
      </c>
      <c r="AE341" s="421">
        <v>13035.94</v>
      </c>
      <c r="AF341" s="1475"/>
      <c r="AG341" s="1477"/>
      <c r="AH341" s="1477"/>
      <c r="AI341" s="1475"/>
      <c r="AJ341" s="1477"/>
      <c r="AK341" s="1478"/>
      <c r="AL341" s="71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3.5" customHeight="1">
      <c r="A342" s="303" t="s">
        <v>1032</v>
      </c>
      <c r="E342" s="10"/>
      <c r="F342" s="1447"/>
      <c r="G342" s="1447"/>
      <c r="H342" s="1447"/>
      <c r="I342" s="1447"/>
      <c r="J342" s="1447"/>
      <c r="K342" s="1447"/>
      <c r="L342" s="1447"/>
      <c r="M342" s="1447"/>
      <c r="N342" s="1447"/>
      <c r="O342" s="1447"/>
      <c r="P342" s="1447"/>
      <c r="Q342" s="1447"/>
      <c r="R342" s="1447"/>
      <c r="S342" s="1447"/>
      <c r="T342" s="1447"/>
      <c r="U342" s="1447"/>
      <c r="V342" s="1447"/>
      <c r="W342" s="1447"/>
      <c r="X342" s="1447"/>
      <c r="Y342" s="1447"/>
      <c r="Z342" s="87" t="s">
        <v>122</v>
      </c>
      <c r="AA342" s="982" t="s">
        <v>110</v>
      </c>
      <c r="AB342" s="679" t="s">
        <v>1108</v>
      </c>
      <c r="AC342" s="380">
        <v>6802.62</v>
      </c>
      <c r="AD342" s="679" t="str">
        <f>AB342</f>
        <v xml:space="preserve">  Прочие</v>
      </c>
      <c r="AE342" s="380">
        <v>3035.99</v>
      </c>
      <c r="AF342" s="1479"/>
      <c r="AG342" s="1477"/>
      <c r="AH342" s="1477"/>
      <c r="AI342" s="1479"/>
      <c r="AJ342" s="1477"/>
      <c r="AK342" s="1478"/>
      <c r="AL342" s="71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3.5" customHeight="1">
      <c r="A343" s="303" t="s">
        <v>1032</v>
      </c>
      <c r="E343" s="10"/>
      <c r="F343" s="1446"/>
      <c r="G343" s="1447"/>
      <c r="H343" s="1447"/>
      <c r="I343" s="1469"/>
      <c r="J343" s="1469"/>
      <c r="K343" s="1473"/>
      <c r="L343" s="1469"/>
      <c r="M343" s="1447"/>
      <c r="N343" s="1459"/>
      <c r="O343" s="1483">
        <v>1</v>
      </c>
      <c r="P343" s="1463"/>
      <c r="Q343" s="1455"/>
      <c r="R343" s="1415"/>
      <c r="S343" s="1464"/>
      <c r="T343" s="1415"/>
      <c r="U343" s="1415"/>
      <c r="V343" s="1415"/>
      <c r="W343" s="1415"/>
      <c r="X343" s="1415"/>
      <c r="Y343" s="1415"/>
      <c r="Z343" s="675"/>
      <c r="AA343" s="676"/>
      <c r="AB343" s="110" t="s">
        <v>1078</v>
      </c>
      <c r="AC343" s="680"/>
      <c r="AD343" s="680"/>
      <c r="AE343" s="680"/>
      <c r="AF343" s="1476"/>
      <c r="AG343" s="1477"/>
      <c r="AH343" s="1477"/>
      <c r="AI343" s="1476"/>
      <c r="AJ343" s="1477"/>
      <c r="AK343" s="1478"/>
      <c r="AL343" s="71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3.5" customHeight="1">
      <c r="A344" s="303" t="s">
        <v>1032</v>
      </c>
      <c r="E344" s="10"/>
      <c r="F344" s="1446"/>
      <c r="G344" s="1447"/>
      <c r="H344" s="1442" t="s">
        <v>109</v>
      </c>
      <c r="I344" s="1454"/>
      <c r="J344" s="1455"/>
      <c r="K344" s="1456"/>
      <c r="L344" s="1169"/>
      <c r="M344" s="1170"/>
      <c r="N344" s="675"/>
      <c r="O344" s="676"/>
      <c r="P344" s="110" t="s">
        <v>1079</v>
      </c>
      <c r="Q344" s="676"/>
      <c r="R344" s="676"/>
      <c r="S344" s="676"/>
      <c r="T344" s="676"/>
      <c r="U344" s="676"/>
      <c r="V344" s="676"/>
      <c r="W344" s="676"/>
      <c r="X344" s="676"/>
      <c r="Y344" s="676"/>
      <c r="Z344" s="676"/>
      <c r="AA344" s="676"/>
      <c r="AB344" s="676"/>
      <c r="AC344" s="676"/>
      <c r="AD344" s="676"/>
      <c r="AE344" s="683"/>
      <c r="AF344" s="1457"/>
      <c r="AG344" s="1458"/>
      <c r="AH344" s="1458"/>
      <c r="AI344" s="1457"/>
      <c r="AJ344" s="1458"/>
      <c r="AK344" s="1458"/>
      <c r="AL344" s="71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1.25" customHeight="1">
      <c r="A345" s="303" t="s">
        <v>1032</v>
      </c>
      <c r="B345" s="303" t="s">
        <v>1100</v>
      </c>
      <c r="E345" s="10"/>
      <c r="F345" s="1446"/>
      <c r="G345" s="1182" t="s">
        <v>122</v>
      </c>
      <c r="H345" s="1442" t="s">
        <v>90</v>
      </c>
      <c r="I345" s="1454" t="s">
        <v>1101</v>
      </c>
      <c r="J345" s="1455" t="s">
        <v>1102</v>
      </c>
      <c r="K345" s="1456" t="s">
        <v>1180</v>
      </c>
      <c r="L345" s="1169" t="s">
        <v>19</v>
      </c>
      <c r="M345" s="1170"/>
      <c r="N345" s="1053"/>
      <c r="O345" s="677" t="s">
        <v>382</v>
      </c>
      <c r="P345" s="678"/>
      <c r="Q345" s="678"/>
      <c r="R345" s="678"/>
      <c r="S345" s="678"/>
      <c r="T345" s="678"/>
      <c r="U345" s="678"/>
      <c r="V345" s="678"/>
      <c r="W345" s="678"/>
      <c r="X345" s="678"/>
      <c r="Y345" s="678"/>
      <c r="Z345" s="678"/>
      <c r="AA345" s="678"/>
      <c r="AB345" s="678"/>
      <c r="AC345" s="678"/>
      <c r="AD345" s="678"/>
      <c r="AE345" s="678"/>
      <c r="AF345" s="1457">
        <v>2025</v>
      </c>
      <c r="AG345" s="1458" t="s">
        <v>1070</v>
      </c>
      <c r="AH345" s="1458" t="s">
        <v>1122</v>
      </c>
      <c r="AI345" s="1466"/>
      <c r="AJ345" s="1458" t="s">
        <v>1084</v>
      </c>
      <c r="AK345" s="1458" t="s">
        <v>1084</v>
      </c>
      <c r="AL345" s="71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1.25" customHeight="1">
      <c r="A346" s="303" t="s">
        <v>1032</v>
      </c>
      <c r="E346" s="10"/>
      <c r="F346" s="1446"/>
      <c r="G346" s="1447"/>
      <c r="H346" s="1442" t="s">
        <v>110</v>
      </c>
      <c r="I346" s="1454"/>
      <c r="J346" s="1455"/>
      <c r="K346" s="1456"/>
      <c r="L346" s="1169"/>
      <c r="M346" s="1170"/>
      <c r="N346" s="1459"/>
      <c r="O346" s="1460">
        <v>1</v>
      </c>
      <c r="P346" s="1461" t="s">
        <v>62</v>
      </c>
      <c r="Q346" s="1455" t="s">
        <v>1085</v>
      </c>
      <c r="R346" s="1464" t="s">
        <v>1072</v>
      </c>
      <c r="S346" s="1464" t="s">
        <v>100</v>
      </c>
      <c r="T346" s="1464" t="s">
        <v>100</v>
      </c>
      <c r="U346" s="1464" t="s">
        <v>101</v>
      </c>
      <c r="V346" s="1464" t="s">
        <v>1073</v>
      </c>
      <c r="W346" s="1464" t="s">
        <v>1074</v>
      </c>
      <c r="X346" s="1464" t="s">
        <v>1086</v>
      </c>
      <c r="Y346" s="1464" t="s">
        <v>1087</v>
      </c>
      <c r="Z346" s="675"/>
      <c r="AA346" s="676"/>
      <c r="AB346" s="676"/>
      <c r="AC346" s="680"/>
      <c r="AD346" s="680"/>
      <c r="AE346" s="681"/>
      <c r="AF346" s="1457"/>
      <c r="AG346" s="1458"/>
      <c r="AH346" s="1458"/>
      <c r="AI346" s="1466"/>
      <c r="AJ346" s="1458"/>
      <c r="AK346" s="1458"/>
      <c r="AL346" s="71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32.25" customHeight="1">
      <c r="A347" s="303" t="s">
        <v>1032</v>
      </c>
      <c r="E347" s="10"/>
      <c r="F347" s="1446"/>
      <c r="G347" s="1447"/>
      <c r="H347" s="1442" t="s">
        <v>110</v>
      </c>
      <c r="I347" s="1454"/>
      <c r="J347" s="1455"/>
      <c r="K347" s="1456"/>
      <c r="L347" s="1169"/>
      <c r="M347" s="1170"/>
      <c r="N347" s="1459"/>
      <c r="O347" s="1460"/>
      <c r="P347" s="1462"/>
      <c r="Q347" s="1455"/>
      <c r="R347" s="1415"/>
      <c r="S347" s="1464"/>
      <c r="T347" s="1415"/>
      <c r="U347" s="1415"/>
      <c r="V347" s="1415"/>
      <c r="W347" s="1415"/>
      <c r="X347" s="1415"/>
      <c r="Y347" s="1415"/>
      <c r="Z347" s="987"/>
      <c r="AA347" s="978">
        <v>1</v>
      </c>
      <c r="AB347" s="679" t="s">
        <v>1088</v>
      </c>
      <c r="AC347" s="380">
        <f>75339.68-AC348</f>
        <v>57042.763999999996</v>
      </c>
      <c r="AD347" s="679" t="str">
        <f>AB347</f>
        <v xml:space="preserve">     Амортизационные отчисления за исключением переоценки основных средств и нематериальных активов</v>
      </c>
      <c r="AE347" s="380">
        <v>57042.764000000003</v>
      </c>
      <c r="AF347" s="1457"/>
      <c r="AG347" s="1458"/>
      <c r="AH347" s="1458"/>
      <c r="AI347" s="1466"/>
      <c r="AJ347" s="1458"/>
      <c r="AK347" s="1458"/>
      <c r="AL347" s="71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3.5" customHeight="1">
      <c r="A348" s="303" t="s">
        <v>1032</v>
      </c>
      <c r="E348" s="10"/>
      <c r="F348" s="1447"/>
      <c r="G348" s="1447"/>
      <c r="H348" s="1447"/>
      <c r="I348" s="1447"/>
      <c r="J348" s="1447"/>
      <c r="K348" s="1447"/>
      <c r="L348" s="1447"/>
      <c r="M348" s="1447"/>
      <c r="N348" s="1447"/>
      <c r="O348" s="1447"/>
      <c r="P348" s="1447"/>
      <c r="Q348" s="1447"/>
      <c r="R348" s="1447"/>
      <c r="S348" s="1447"/>
      <c r="T348" s="1447"/>
      <c r="U348" s="1447"/>
      <c r="V348" s="1447"/>
      <c r="W348" s="1447"/>
      <c r="X348" s="1447"/>
      <c r="Y348" s="1447"/>
      <c r="Z348" s="87" t="s">
        <v>122</v>
      </c>
      <c r="AA348" s="982" t="s">
        <v>110</v>
      </c>
      <c r="AB348" s="679" t="s">
        <v>1108</v>
      </c>
      <c r="AC348" s="380">
        <f>15247.43*1.2</f>
        <v>18296.916000000001</v>
      </c>
      <c r="AD348" s="679" t="str">
        <f>AB348</f>
        <v xml:space="preserve">  Прочие</v>
      </c>
      <c r="AE348" s="380">
        <v>26838.52</v>
      </c>
      <c r="AF348" s="1479"/>
      <c r="AG348" s="1477"/>
      <c r="AH348" s="1477"/>
      <c r="AI348" s="1484"/>
      <c r="AJ348" s="1477"/>
      <c r="AK348" s="1478"/>
      <c r="AL348" s="71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1.25" customHeight="1">
      <c r="A349" s="303" t="s">
        <v>1032</v>
      </c>
      <c r="E349" s="10"/>
      <c r="F349" s="1446"/>
      <c r="G349" s="1447"/>
      <c r="H349" s="1442" t="s">
        <v>110</v>
      </c>
      <c r="I349" s="1454"/>
      <c r="J349" s="1455"/>
      <c r="K349" s="1456"/>
      <c r="L349" s="1169"/>
      <c r="M349" s="1170"/>
      <c r="N349" s="1459"/>
      <c r="O349" s="1460"/>
      <c r="P349" s="1463"/>
      <c r="Q349" s="1455"/>
      <c r="R349" s="1415"/>
      <c r="S349" s="1464"/>
      <c r="T349" s="1415"/>
      <c r="U349" s="1415"/>
      <c r="V349" s="1415"/>
      <c r="W349" s="1415"/>
      <c r="X349" s="1415"/>
      <c r="Y349" s="1415"/>
      <c r="Z349" s="675"/>
      <c r="AA349" s="676"/>
      <c r="AB349" s="110" t="s">
        <v>1078</v>
      </c>
      <c r="AC349" s="680"/>
      <c r="AD349" s="680"/>
      <c r="AE349" s="682"/>
      <c r="AF349" s="1457"/>
      <c r="AG349" s="1458"/>
      <c r="AH349" s="1458"/>
      <c r="AI349" s="1466"/>
      <c r="AJ349" s="1458"/>
      <c r="AK349" s="1458"/>
      <c r="AL349" s="71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1.25" customHeight="1">
      <c r="A350" s="303" t="s">
        <v>1032</v>
      </c>
      <c r="E350" s="10"/>
      <c r="F350" s="1446"/>
      <c r="G350" s="1447"/>
      <c r="H350" s="1442" t="s">
        <v>110</v>
      </c>
      <c r="I350" s="1454"/>
      <c r="J350" s="1455"/>
      <c r="K350" s="1456"/>
      <c r="L350" s="1169"/>
      <c r="M350" s="1170"/>
      <c r="N350" s="675"/>
      <c r="O350" s="676"/>
      <c r="P350" s="110" t="s">
        <v>1079</v>
      </c>
      <c r="Q350" s="676"/>
      <c r="R350" s="676"/>
      <c r="S350" s="676"/>
      <c r="T350" s="676"/>
      <c r="U350" s="676"/>
      <c r="V350" s="676"/>
      <c r="W350" s="676"/>
      <c r="X350" s="676"/>
      <c r="Y350" s="676"/>
      <c r="Z350" s="676"/>
      <c r="AA350" s="676"/>
      <c r="AB350" s="676"/>
      <c r="AC350" s="676"/>
      <c r="AD350" s="676"/>
      <c r="AE350" s="683"/>
      <c r="AF350" s="1457"/>
      <c r="AG350" s="1458"/>
      <c r="AH350" s="1458"/>
      <c r="AI350" s="1466"/>
      <c r="AJ350" s="1458"/>
      <c r="AK350" s="1458"/>
      <c r="AL350" s="71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1.25" customHeight="1">
      <c r="A351" s="303" t="s">
        <v>1032</v>
      </c>
      <c r="B351" s="303" t="s">
        <v>1100</v>
      </c>
      <c r="E351" s="10"/>
      <c r="F351" s="1446"/>
      <c r="G351" s="1182" t="s">
        <v>122</v>
      </c>
      <c r="H351" s="1442" t="s">
        <v>91</v>
      </c>
      <c r="I351" s="1454" t="s">
        <v>1101</v>
      </c>
      <c r="J351" s="1455" t="s">
        <v>1102</v>
      </c>
      <c r="K351" s="1456" t="s">
        <v>1175</v>
      </c>
      <c r="L351" s="1169" t="s">
        <v>19</v>
      </c>
      <c r="M351" s="1170"/>
      <c r="N351" s="1053"/>
      <c r="O351" s="677" t="s">
        <v>382</v>
      </c>
      <c r="P351" s="678"/>
      <c r="Q351" s="678"/>
      <c r="R351" s="678"/>
      <c r="S351" s="678"/>
      <c r="T351" s="678"/>
      <c r="U351" s="678"/>
      <c r="V351" s="678"/>
      <c r="W351" s="678"/>
      <c r="X351" s="678"/>
      <c r="Y351" s="678"/>
      <c r="Z351" s="678"/>
      <c r="AA351" s="678"/>
      <c r="AB351" s="678"/>
      <c r="AC351" s="678"/>
      <c r="AD351" s="678"/>
      <c r="AE351" s="678"/>
      <c r="AF351" s="1457">
        <v>2025</v>
      </c>
      <c r="AG351" s="1458" t="s">
        <v>1115</v>
      </c>
      <c r="AH351" s="1458" t="s">
        <v>1122</v>
      </c>
      <c r="AI351" s="1457">
        <v>2025</v>
      </c>
      <c r="AJ351" s="1458" t="s">
        <v>1081</v>
      </c>
      <c r="AK351" s="1458" t="s">
        <v>1122</v>
      </c>
      <c r="AL351" s="71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11.25" customHeight="1">
      <c r="A352" s="303" t="s">
        <v>1032</v>
      </c>
      <c r="E352" s="10"/>
      <c r="F352" s="1446"/>
      <c r="G352" s="1447"/>
      <c r="H352" s="1442" t="s">
        <v>90</v>
      </c>
      <c r="I352" s="1454"/>
      <c r="J352" s="1455"/>
      <c r="K352" s="1456"/>
      <c r="L352" s="1169"/>
      <c r="M352" s="1170"/>
      <c r="N352" s="1459"/>
      <c r="O352" s="1460">
        <v>1</v>
      </c>
      <c r="P352" s="1461" t="s">
        <v>62</v>
      </c>
      <c r="Q352" s="1455" t="s">
        <v>1071</v>
      </c>
      <c r="R352" s="1464" t="s">
        <v>1072</v>
      </c>
      <c r="S352" s="1464" t="s">
        <v>100</v>
      </c>
      <c r="T352" s="1464" t="s">
        <v>100</v>
      </c>
      <c r="U352" s="1464" t="s">
        <v>101</v>
      </c>
      <c r="V352" s="1464" t="s">
        <v>1073</v>
      </c>
      <c r="W352" s="1464" t="s">
        <v>1074</v>
      </c>
      <c r="X352" s="1464" t="s">
        <v>1075</v>
      </c>
      <c r="Y352" s="1464" t="s">
        <v>1076</v>
      </c>
      <c r="Z352" s="675"/>
      <c r="AA352" s="676"/>
      <c r="AB352" s="676"/>
      <c r="AC352" s="680"/>
      <c r="AD352" s="680"/>
      <c r="AE352" s="681"/>
      <c r="AF352" s="1457"/>
      <c r="AG352" s="1458"/>
      <c r="AH352" s="1458"/>
      <c r="AI352" s="1457"/>
      <c r="AJ352" s="1458"/>
      <c r="AK352" s="1458"/>
      <c r="AL352" s="71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32.25" customHeight="1">
      <c r="A353" s="303" t="s">
        <v>1032</v>
      </c>
      <c r="E353" s="10"/>
      <c r="F353" s="1446"/>
      <c r="G353" s="1447"/>
      <c r="H353" s="1442" t="s">
        <v>90</v>
      </c>
      <c r="I353" s="1454"/>
      <c r="J353" s="1455"/>
      <c r="K353" s="1456"/>
      <c r="L353" s="1169"/>
      <c r="M353" s="1170"/>
      <c r="N353" s="1459"/>
      <c r="O353" s="1460"/>
      <c r="P353" s="1462"/>
      <c r="Q353" s="1455"/>
      <c r="R353" s="1415"/>
      <c r="S353" s="1464"/>
      <c r="T353" s="1415"/>
      <c r="U353" s="1415"/>
      <c r="V353" s="1415"/>
      <c r="W353" s="1415"/>
      <c r="X353" s="1415"/>
      <c r="Y353" s="1415"/>
      <c r="Z353" s="987"/>
      <c r="AA353" s="978">
        <v>1</v>
      </c>
      <c r="AB353" s="679" t="s">
        <v>1088</v>
      </c>
      <c r="AC353" s="380">
        <v>376.83</v>
      </c>
      <c r="AD353" s="679" t="str">
        <f>AB353</f>
        <v xml:space="preserve">     Амортизационные отчисления за исключением переоценки основных средств и нематериальных активов</v>
      </c>
      <c r="AE353" s="380">
        <v>190.98</v>
      </c>
      <c r="AF353" s="1457"/>
      <c r="AG353" s="1458"/>
      <c r="AH353" s="1458"/>
      <c r="AI353" s="1457"/>
      <c r="AJ353" s="1458"/>
      <c r="AK353" s="1458"/>
      <c r="AL353" s="71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3.5" customHeight="1">
      <c r="A354" s="303" t="s">
        <v>1032</v>
      </c>
      <c r="E354" s="10"/>
      <c r="F354" s="1446"/>
      <c r="G354" s="1447"/>
      <c r="H354" s="1442" t="s">
        <v>90</v>
      </c>
      <c r="I354" s="1454"/>
      <c r="J354" s="1455"/>
      <c r="K354" s="1456"/>
      <c r="L354" s="1169"/>
      <c r="M354" s="1170"/>
      <c r="N354" s="1459"/>
      <c r="O354" s="1460"/>
      <c r="P354" s="1463"/>
      <c r="Q354" s="1455"/>
      <c r="R354" s="1415"/>
      <c r="S354" s="1464"/>
      <c r="T354" s="1415"/>
      <c r="U354" s="1415"/>
      <c r="V354" s="1415"/>
      <c r="W354" s="1415"/>
      <c r="X354" s="1415"/>
      <c r="Y354" s="1415"/>
      <c r="Z354" s="675"/>
      <c r="AA354" s="676"/>
      <c r="AB354" s="110" t="s">
        <v>1078</v>
      </c>
      <c r="AC354" s="680"/>
      <c r="AD354" s="680"/>
      <c r="AE354" s="682"/>
      <c r="AF354" s="1457"/>
      <c r="AG354" s="1458"/>
      <c r="AH354" s="1458"/>
      <c r="AI354" s="1457"/>
      <c r="AJ354" s="1458"/>
      <c r="AK354" s="1458"/>
      <c r="AL354" s="71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1.25" customHeight="1">
      <c r="A355" s="303" t="s">
        <v>1032</v>
      </c>
      <c r="E355" s="10"/>
      <c r="F355" s="1446"/>
      <c r="G355" s="1447"/>
      <c r="H355" s="1442" t="s">
        <v>90</v>
      </c>
      <c r="I355" s="1454"/>
      <c r="J355" s="1455"/>
      <c r="K355" s="1456"/>
      <c r="L355" s="1169"/>
      <c r="M355" s="1170"/>
      <c r="N355" s="675"/>
      <c r="O355" s="676"/>
      <c r="P355" s="110" t="s">
        <v>1079</v>
      </c>
      <c r="Q355" s="676"/>
      <c r="R355" s="676"/>
      <c r="S355" s="676"/>
      <c r="T355" s="676"/>
      <c r="U355" s="676"/>
      <c r="V355" s="676"/>
      <c r="W355" s="676"/>
      <c r="X355" s="676"/>
      <c r="Y355" s="676"/>
      <c r="Z355" s="676"/>
      <c r="AA355" s="676"/>
      <c r="AB355" s="676"/>
      <c r="AC355" s="676"/>
      <c r="AD355" s="676"/>
      <c r="AE355" s="683"/>
      <c r="AF355" s="1457"/>
      <c r="AG355" s="1458"/>
      <c r="AH355" s="1458"/>
      <c r="AI355" s="1457"/>
      <c r="AJ355" s="1458"/>
      <c r="AK355" s="1458"/>
      <c r="AL355" s="71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1.25" customHeight="1">
      <c r="A356" s="303" t="s">
        <v>1032</v>
      </c>
      <c r="B356" s="303" t="s">
        <v>1100</v>
      </c>
      <c r="E356" s="10"/>
      <c r="F356" s="1446"/>
      <c r="G356" s="1182" t="s">
        <v>122</v>
      </c>
      <c r="H356" s="1442" t="s">
        <v>111</v>
      </c>
      <c r="I356" s="1454" t="s">
        <v>1101</v>
      </c>
      <c r="J356" s="1455" t="s">
        <v>1120</v>
      </c>
      <c r="K356" s="1456" t="s">
        <v>1121</v>
      </c>
      <c r="L356" s="1169" t="s">
        <v>19</v>
      </c>
      <c r="M356" s="1170"/>
      <c r="N356" s="1053"/>
      <c r="O356" s="677" t="s">
        <v>382</v>
      </c>
      <c r="P356" s="678"/>
      <c r="Q356" s="678"/>
      <c r="R356" s="678"/>
      <c r="S356" s="678"/>
      <c r="T356" s="678"/>
      <c r="U356" s="678"/>
      <c r="V356" s="678"/>
      <c r="W356" s="678"/>
      <c r="X356" s="678"/>
      <c r="Y356" s="678"/>
      <c r="Z356" s="678"/>
      <c r="AA356" s="678"/>
      <c r="AB356" s="678"/>
      <c r="AC356" s="678"/>
      <c r="AD356" s="678"/>
      <c r="AE356" s="678"/>
      <c r="AF356" s="1457">
        <v>2025</v>
      </c>
      <c r="AG356" s="1458" t="s">
        <v>1070</v>
      </c>
      <c r="AH356" s="1458" t="s">
        <v>1122</v>
      </c>
      <c r="AI356" s="1466"/>
      <c r="AJ356" s="1458" t="s">
        <v>1084</v>
      </c>
      <c r="AK356" s="1458" t="s">
        <v>1084</v>
      </c>
      <c r="AL356" s="71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1.25" customHeight="1">
      <c r="A357" s="303" t="s">
        <v>1032</v>
      </c>
      <c r="E357" s="10"/>
      <c r="F357" s="1446"/>
      <c r="G357" s="1447"/>
      <c r="H357" s="1442" t="s">
        <v>91</v>
      </c>
      <c r="I357" s="1454"/>
      <c r="J357" s="1455"/>
      <c r="K357" s="1456"/>
      <c r="L357" s="1169"/>
      <c r="M357" s="1170"/>
      <c r="N357" s="1459"/>
      <c r="O357" s="1460">
        <v>1</v>
      </c>
      <c r="P357" s="1461" t="s">
        <v>62</v>
      </c>
      <c r="Q357" s="1455" t="s">
        <v>1085</v>
      </c>
      <c r="R357" s="1464" t="s">
        <v>1072</v>
      </c>
      <c r="S357" s="1464" t="s">
        <v>100</v>
      </c>
      <c r="T357" s="1464" t="s">
        <v>100</v>
      </c>
      <c r="U357" s="1464" t="s">
        <v>101</v>
      </c>
      <c r="V357" s="1464" t="s">
        <v>1073</v>
      </c>
      <c r="W357" s="1464" t="s">
        <v>1074</v>
      </c>
      <c r="X357" s="1464" t="s">
        <v>1086</v>
      </c>
      <c r="Y357" s="1464" t="s">
        <v>1087</v>
      </c>
      <c r="Z357" s="675"/>
      <c r="AA357" s="676"/>
      <c r="AB357" s="676"/>
      <c r="AC357" s="680"/>
      <c r="AD357" s="680"/>
      <c r="AE357" s="681"/>
      <c r="AF357" s="1457"/>
      <c r="AG357" s="1458"/>
      <c r="AH357" s="1458"/>
      <c r="AI357" s="1466"/>
      <c r="AJ357" s="1458"/>
      <c r="AK357" s="1458"/>
      <c r="AL357" s="71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32.25" customHeight="1">
      <c r="A358" s="303" t="s">
        <v>1032</v>
      </c>
      <c r="E358" s="10"/>
      <c r="F358" s="1446"/>
      <c r="G358" s="1447"/>
      <c r="H358" s="1442" t="s">
        <v>91</v>
      </c>
      <c r="I358" s="1454"/>
      <c r="J358" s="1455"/>
      <c r="K358" s="1456"/>
      <c r="L358" s="1169"/>
      <c r="M358" s="1170"/>
      <c r="N358" s="1459"/>
      <c r="O358" s="1460"/>
      <c r="P358" s="1462"/>
      <c r="Q358" s="1455"/>
      <c r="R358" s="1415"/>
      <c r="S358" s="1464"/>
      <c r="T358" s="1415"/>
      <c r="U358" s="1415"/>
      <c r="V358" s="1415"/>
      <c r="W358" s="1415"/>
      <c r="X358" s="1415"/>
      <c r="Y358" s="1415"/>
      <c r="Z358" s="987"/>
      <c r="AA358" s="978">
        <v>1</v>
      </c>
      <c r="AB358" s="679" t="s">
        <v>1088</v>
      </c>
      <c r="AC358" s="380">
        <f>19218.62-AC359</f>
        <v>4757.1919999999991</v>
      </c>
      <c r="AD358" s="679" t="str">
        <f>AB358</f>
        <v xml:space="preserve">     Амортизационные отчисления за исключением переоценки основных средств и нематериальных активов</v>
      </c>
      <c r="AE358" s="380">
        <v>0</v>
      </c>
      <c r="AF358" s="1457"/>
      <c r="AG358" s="1458"/>
      <c r="AH358" s="1458"/>
      <c r="AI358" s="1466"/>
      <c r="AJ358" s="1458"/>
      <c r="AK358" s="1458"/>
      <c r="AL358" s="71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3.5" customHeight="1">
      <c r="A359" s="303" t="s">
        <v>1032</v>
      </c>
      <c r="E359" s="10"/>
      <c r="F359" s="1447"/>
      <c r="G359" s="1447"/>
      <c r="H359" s="1447"/>
      <c r="I359" s="1447"/>
      <c r="J359" s="1447"/>
      <c r="K359" s="1447"/>
      <c r="L359" s="1447"/>
      <c r="M359" s="1447"/>
      <c r="N359" s="1447"/>
      <c r="O359" s="1447"/>
      <c r="P359" s="1447"/>
      <c r="Q359" s="1447"/>
      <c r="R359" s="1447"/>
      <c r="S359" s="1447"/>
      <c r="T359" s="1447"/>
      <c r="U359" s="1447"/>
      <c r="V359" s="1447"/>
      <c r="W359" s="1447"/>
      <c r="X359" s="1447"/>
      <c r="Y359" s="1447"/>
      <c r="Z359" s="87" t="s">
        <v>122</v>
      </c>
      <c r="AA359" s="982" t="s">
        <v>110</v>
      </c>
      <c r="AB359" s="679" t="s">
        <v>1108</v>
      </c>
      <c r="AC359" s="380">
        <f>12051.19*1.2</f>
        <v>14461.428</v>
      </c>
      <c r="AD359" s="679" t="str">
        <f>AB359</f>
        <v xml:space="preserve">  Прочие</v>
      </c>
      <c r="AE359" s="380">
        <v>0</v>
      </c>
      <c r="AF359" s="1479"/>
      <c r="AG359" s="1477"/>
      <c r="AH359" s="1477"/>
      <c r="AI359" s="1484"/>
      <c r="AJ359" s="1477"/>
      <c r="AK359" s="1478"/>
      <c r="AL359" s="71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1.25" customHeight="1">
      <c r="A360" s="303" t="s">
        <v>1032</v>
      </c>
      <c r="E360" s="10"/>
      <c r="F360" s="1446"/>
      <c r="G360" s="1447"/>
      <c r="H360" s="1442" t="s">
        <v>91</v>
      </c>
      <c r="I360" s="1454"/>
      <c r="J360" s="1455"/>
      <c r="K360" s="1456"/>
      <c r="L360" s="1169"/>
      <c r="M360" s="1170"/>
      <c r="N360" s="1459"/>
      <c r="O360" s="1460"/>
      <c r="P360" s="1463"/>
      <c r="Q360" s="1455"/>
      <c r="R360" s="1415"/>
      <c r="S360" s="1464"/>
      <c r="T360" s="1415"/>
      <c r="U360" s="1415"/>
      <c r="V360" s="1415"/>
      <c r="W360" s="1415"/>
      <c r="X360" s="1415"/>
      <c r="Y360" s="1415"/>
      <c r="Z360" s="675"/>
      <c r="AA360" s="676"/>
      <c r="AB360" s="110" t="s">
        <v>1078</v>
      </c>
      <c r="AC360" s="680"/>
      <c r="AD360" s="680"/>
      <c r="AE360" s="682"/>
      <c r="AF360" s="1457"/>
      <c r="AG360" s="1458"/>
      <c r="AH360" s="1458"/>
      <c r="AI360" s="1466"/>
      <c r="AJ360" s="1458"/>
      <c r="AK360" s="1458"/>
      <c r="AL360" s="71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1.25" customHeight="1">
      <c r="A361" s="303" t="s">
        <v>1032</v>
      </c>
      <c r="E361" s="10"/>
      <c r="F361" s="1446"/>
      <c r="G361" s="1447"/>
      <c r="H361" s="1442" t="s">
        <v>91</v>
      </c>
      <c r="I361" s="1454"/>
      <c r="J361" s="1455"/>
      <c r="K361" s="1456"/>
      <c r="L361" s="1169"/>
      <c r="M361" s="1170"/>
      <c r="N361" s="675"/>
      <c r="O361" s="676"/>
      <c r="P361" s="110" t="s">
        <v>1079</v>
      </c>
      <c r="Q361" s="676"/>
      <c r="R361" s="676"/>
      <c r="S361" s="676"/>
      <c r="T361" s="676"/>
      <c r="U361" s="676"/>
      <c r="V361" s="676"/>
      <c r="W361" s="676"/>
      <c r="X361" s="676"/>
      <c r="Y361" s="676"/>
      <c r="Z361" s="676"/>
      <c r="AA361" s="676"/>
      <c r="AB361" s="676"/>
      <c r="AC361" s="676"/>
      <c r="AD361" s="676"/>
      <c r="AE361" s="683"/>
      <c r="AF361" s="1457"/>
      <c r="AG361" s="1458"/>
      <c r="AH361" s="1458"/>
      <c r="AI361" s="1466"/>
      <c r="AJ361" s="1458"/>
      <c r="AK361" s="1458"/>
      <c r="AL361" s="71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11.25" customHeight="1">
      <c r="A362" s="303" t="s">
        <v>1032</v>
      </c>
      <c r="B362" s="303" t="s">
        <v>1142</v>
      </c>
      <c r="E362" s="10"/>
      <c r="F362" s="1446"/>
      <c r="G362" s="1182" t="s">
        <v>122</v>
      </c>
      <c r="H362" s="1442" t="s">
        <v>92</v>
      </c>
      <c r="I362" s="1454" t="s">
        <v>1144</v>
      </c>
      <c r="J362" s="1455" t="s">
        <v>1176</v>
      </c>
      <c r="K362" s="1456" t="s">
        <v>1177</v>
      </c>
      <c r="L362" s="1169" t="s">
        <v>19</v>
      </c>
      <c r="M362" s="1170"/>
      <c r="N362" s="1053"/>
      <c r="O362" s="677" t="s">
        <v>382</v>
      </c>
      <c r="P362" s="678"/>
      <c r="Q362" s="678"/>
      <c r="R362" s="678"/>
      <c r="S362" s="678"/>
      <c r="T362" s="678"/>
      <c r="U362" s="678"/>
      <c r="V362" s="678"/>
      <c r="W362" s="678"/>
      <c r="X362" s="678"/>
      <c r="Y362" s="678"/>
      <c r="Z362" s="678"/>
      <c r="AA362" s="678"/>
      <c r="AB362" s="678"/>
      <c r="AC362" s="678"/>
      <c r="AD362" s="678"/>
      <c r="AE362" s="678"/>
      <c r="AF362" s="1457">
        <v>2025</v>
      </c>
      <c r="AG362" s="1458" t="s">
        <v>1081</v>
      </c>
      <c r="AH362" s="1458" t="s">
        <v>1122</v>
      </c>
      <c r="AI362" s="1457">
        <v>2025</v>
      </c>
      <c r="AJ362" s="1458" t="s">
        <v>1081</v>
      </c>
      <c r="AK362" s="1458" t="s">
        <v>1122</v>
      </c>
      <c r="AL362" s="71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1.25" customHeight="1">
      <c r="A363" s="303" t="s">
        <v>1032</v>
      </c>
      <c r="E363" s="10"/>
      <c r="F363" s="1446"/>
      <c r="G363" s="1447"/>
      <c r="H363" s="1442" t="s">
        <v>111</v>
      </c>
      <c r="I363" s="1454"/>
      <c r="J363" s="1455"/>
      <c r="K363" s="1456"/>
      <c r="L363" s="1169"/>
      <c r="M363" s="1170"/>
      <c r="N363" s="1459"/>
      <c r="O363" s="1460">
        <v>1</v>
      </c>
      <c r="P363" s="1461" t="s">
        <v>62</v>
      </c>
      <c r="Q363" s="1455" t="s">
        <v>1085</v>
      </c>
      <c r="R363" s="1464" t="s">
        <v>1072</v>
      </c>
      <c r="S363" s="1464" t="s">
        <v>100</v>
      </c>
      <c r="T363" s="1464" t="s">
        <v>100</v>
      </c>
      <c r="U363" s="1464" t="s">
        <v>101</v>
      </c>
      <c r="V363" s="1464" t="s">
        <v>1073</v>
      </c>
      <c r="W363" s="1464" t="s">
        <v>1074</v>
      </c>
      <c r="X363" s="1464" t="s">
        <v>1086</v>
      </c>
      <c r="Y363" s="1464" t="s">
        <v>1087</v>
      </c>
      <c r="Z363" s="675"/>
      <c r="AA363" s="676"/>
      <c r="AB363" s="676"/>
      <c r="AC363" s="680"/>
      <c r="AD363" s="680"/>
      <c r="AE363" s="681"/>
      <c r="AF363" s="1457"/>
      <c r="AG363" s="1458"/>
      <c r="AH363" s="1458"/>
      <c r="AI363" s="1457"/>
      <c r="AJ363" s="1458"/>
      <c r="AK363" s="1458"/>
      <c r="AL363" s="71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32.25" customHeight="1">
      <c r="A364" s="303" t="s">
        <v>1032</v>
      </c>
      <c r="E364" s="10"/>
      <c r="F364" s="1446"/>
      <c r="G364" s="1447"/>
      <c r="H364" s="1442" t="s">
        <v>111</v>
      </c>
      <c r="I364" s="1454"/>
      <c r="J364" s="1455"/>
      <c r="K364" s="1456"/>
      <c r="L364" s="1169"/>
      <c r="M364" s="1170"/>
      <c r="N364" s="1459"/>
      <c r="O364" s="1460"/>
      <c r="P364" s="1462"/>
      <c r="Q364" s="1455"/>
      <c r="R364" s="1415"/>
      <c r="S364" s="1464"/>
      <c r="T364" s="1415"/>
      <c r="U364" s="1415"/>
      <c r="V364" s="1415"/>
      <c r="W364" s="1415"/>
      <c r="X364" s="1415"/>
      <c r="Y364" s="1415"/>
      <c r="Z364" s="987"/>
      <c r="AA364" s="978">
        <v>1</v>
      </c>
      <c r="AB364" s="679" t="s">
        <v>1088</v>
      </c>
      <c r="AC364" s="380">
        <f>8328.01/3</f>
        <v>2776.0033333333336</v>
      </c>
      <c r="AD364" s="679" t="str">
        <f>AB364</f>
        <v xml:space="preserve">     Амортизационные отчисления за исключением переоценки основных средств и нематериальных активов</v>
      </c>
      <c r="AE364" s="380">
        <f>6414/3</f>
        <v>2138</v>
      </c>
      <c r="AF364" s="1457"/>
      <c r="AG364" s="1458"/>
      <c r="AH364" s="1458"/>
      <c r="AI364" s="1457"/>
      <c r="AJ364" s="1458"/>
      <c r="AK364" s="1458"/>
      <c r="AL364" s="71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13.5" customHeight="1">
      <c r="A365" s="303" t="s">
        <v>1032</v>
      </c>
      <c r="E365" s="10"/>
      <c r="F365" s="1447"/>
      <c r="G365" s="1447"/>
      <c r="H365" s="1447"/>
      <c r="I365" s="1447"/>
      <c r="J365" s="1447"/>
      <c r="K365" s="1447"/>
      <c r="L365" s="1447"/>
      <c r="M365" s="1447"/>
      <c r="N365" s="1447"/>
      <c r="O365" s="1447"/>
      <c r="P365" s="1447"/>
      <c r="Q365" s="1447"/>
      <c r="R365" s="1447"/>
      <c r="S365" s="1447"/>
      <c r="T365" s="1447"/>
      <c r="U365" s="1447"/>
      <c r="V365" s="1447"/>
      <c r="W365" s="1447"/>
      <c r="X365" s="1447"/>
      <c r="Y365" s="1447"/>
      <c r="Z365" s="87" t="s">
        <v>122</v>
      </c>
      <c r="AA365" s="982" t="s">
        <v>110</v>
      </c>
      <c r="AB365" s="679" t="s">
        <v>1108</v>
      </c>
      <c r="AC365" s="380">
        <f>366.4*1.2</f>
        <v>439.67999999999995</v>
      </c>
      <c r="AD365" s="679" t="str">
        <f>AB365</f>
        <v xml:space="preserve">  Прочие</v>
      </c>
      <c r="AE365" s="380">
        <v>0</v>
      </c>
      <c r="AF365" s="1479"/>
      <c r="AG365" s="1477"/>
      <c r="AH365" s="1477"/>
      <c r="AI365" s="1479"/>
      <c r="AJ365" s="1477"/>
      <c r="AK365" s="1478"/>
      <c r="AL365" s="71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1.25" customHeight="1">
      <c r="A366" s="303" t="s">
        <v>1032</v>
      </c>
      <c r="E366" s="10"/>
      <c r="F366" s="1446"/>
      <c r="G366" s="1447"/>
      <c r="H366" s="1442" t="s">
        <v>111</v>
      </c>
      <c r="I366" s="1454"/>
      <c r="J366" s="1455"/>
      <c r="K366" s="1456"/>
      <c r="L366" s="1169"/>
      <c r="M366" s="1170"/>
      <c r="N366" s="1459"/>
      <c r="O366" s="1460"/>
      <c r="P366" s="1463"/>
      <c r="Q366" s="1455"/>
      <c r="R366" s="1415"/>
      <c r="S366" s="1464"/>
      <c r="T366" s="1415"/>
      <c r="U366" s="1415"/>
      <c r="V366" s="1415"/>
      <c r="W366" s="1415"/>
      <c r="X366" s="1415"/>
      <c r="Y366" s="1415"/>
      <c r="Z366" s="675"/>
      <c r="AA366" s="676"/>
      <c r="AB366" s="110" t="s">
        <v>1078</v>
      </c>
      <c r="AC366" s="680"/>
      <c r="AD366" s="680"/>
      <c r="AE366" s="682"/>
      <c r="AF366" s="1457"/>
      <c r="AG366" s="1458"/>
      <c r="AH366" s="1458"/>
      <c r="AI366" s="1457"/>
      <c r="AJ366" s="1458"/>
      <c r="AK366" s="1458"/>
      <c r="AL366" s="71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1.25" customHeight="1">
      <c r="A367" s="303" t="s">
        <v>1032</v>
      </c>
      <c r="E367" s="10"/>
      <c r="F367" s="1446"/>
      <c r="G367" s="1447"/>
      <c r="H367" s="1447"/>
      <c r="I367" s="1467"/>
      <c r="J367" s="1467"/>
      <c r="K367" s="1473"/>
      <c r="L367" s="1467"/>
      <c r="M367" s="1447"/>
      <c r="N367" s="1182" t="s">
        <v>122</v>
      </c>
      <c r="O367" s="1483" t="s">
        <v>110</v>
      </c>
      <c r="P367" s="1461" t="s">
        <v>62</v>
      </c>
      <c r="Q367" s="1455" t="s">
        <v>1096</v>
      </c>
      <c r="R367" s="1464" t="s">
        <v>1072</v>
      </c>
      <c r="S367" s="1464" t="s">
        <v>100</v>
      </c>
      <c r="T367" s="1464" t="s">
        <v>100</v>
      </c>
      <c r="U367" s="1464" t="s">
        <v>101</v>
      </c>
      <c r="V367" s="1464" t="s">
        <v>1073</v>
      </c>
      <c r="W367" s="1464" t="s">
        <v>1074</v>
      </c>
      <c r="X367" s="1464" t="s">
        <v>1075</v>
      </c>
      <c r="Y367" s="1464" t="s">
        <v>1097</v>
      </c>
      <c r="Z367" s="675"/>
      <c r="AA367" s="676"/>
      <c r="AB367" s="676"/>
      <c r="AC367" s="680"/>
      <c r="AD367" s="680"/>
      <c r="AE367" s="680"/>
      <c r="AF367" s="1474"/>
      <c r="AG367" s="1477"/>
      <c r="AH367" s="1477"/>
      <c r="AI367" s="1474"/>
      <c r="AJ367" s="1477"/>
      <c r="AK367" s="1478"/>
      <c r="AL367" s="71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32.25" customHeight="1">
      <c r="A368" s="303" t="s">
        <v>1032</v>
      </c>
      <c r="E368" s="10"/>
      <c r="F368" s="1446"/>
      <c r="G368" s="1447"/>
      <c r="H368" s="1447"/>
      <c r="I368" s="1468"/>
      <c r="J368" s="1468"/>
      <c r="K368" s="1473"/>
      <c r="L368" s="1468"/>
      <c r="M368" s="1447"/>
      <c r="N368" s="1459"/>
      <c r="O368" s="1483">
        <v>1</v>
      </c>
      <c r="P368" s="1462"/>
      <c r="Q368" s="1455"/>
      <c r="R368" s="1415"/>
      <c r="S368" s="1464"/>
      <c r="T368" s="1415"/>
      <c r="U368" s="1415"/>
      <c r="V368" s="1415"/>
      <c r="W368" s="1415"/>
      <c r="X368" s="1415"/>
      <c r="Y368" s="1415"/>
      <c r="Z368" s="987"/>
      <c r="AA368" s="978">
        <v>1</v>
      </c>
      <c r="AB368" s="679" t="s">
        <v>1088</v>
      </c>
      <c r="AC368" s="380">
        <v>2776</v>
      </c>
      <c r="AD368" s="679" t="str">
        <f>AB368</f>
        <v xml:space="preserve">     Амортизационные отчисления за исключением переоценки основных средств и нематериальных активов</v>
      </c>
      <c r="AE368" s="421">
        <v>2138</v>
      </c>
      <c r="AF368" s="1475"/>
      <c r="AG368" s="1477"/>
      <c r="AH368" s="1477"/>
      <c r="AI368" s="1475"/>
      <c r="AJ368" s="1477"/>
      <c r="AK368" s="1478"/>
      <c r="AL368" s="71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3.5" customHeight="1">
      <c r="A369" s="303" t="s">
        <v>1032</v>
      </c>
      <c r="E369" s="10"/>
      <c r="F369" s="1446"/>
      <c r="G369" s="1447"/>
      <c r="H369" s="1447"/>
      <c r="I369" s="1469"/>
      <c r="J369" s="1469"/>
      <c r="K369" s="1473"/>
      <c r="L369" s="1469"/>
      <c r="M369" s="1447"/>
      <c r="N369" s="1459"/>
      <c r="O369" s="1483">
        <v>1</v>
      </c>
      <c r="P369" s="1463"/>
      <c r="Q369" s="1455"/>
      <c r="R369" s="1415"/>
      <c r="S369" s="1464"/>
      <c r="T369" s="1415"/>
      <c r="U369" s="1415"/>
      <c r="V369" s="1415"/>
      <c r="W369" s="1415"/>
      <c r="X369" s="1415"/>
      <c r="Y369" s="1415"/>
      <c r="Z369" s="675"/>
      <c r="AA369" s="676"/>
      <c r="AB369" s="110" t="s">
        <v>1078</v>
      </c>
      <c r="AC369" s="680"/>
      <c r="AD369" s="680"/>
      <c r="AE369" s="680"/>
      <c r="AF369" s="1476"/>
      <c r="AG369" s="1477"/>
      <c r="AH369" s="1477"/>
      <c r="AI369" s="1476"/>
      <c r="AJ369" s="1477"/>
      <c r="AK369" s="1478"/>
      <c r="AL369" s="71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10.5" customHeight="1">
      <c r="A370" s="303" t="s">
        <v>1032</v>
      </c>
      <c r="E370" s="10"/>
      <c r="F370" s="1446"/>
      <c r="G370" s="1447"/>
      <c r="H370" s="1447"/>
      <c r="I370" s="1467"/>
      <c r="J370" s="1467"/>
      <c r="K370" s="1473"/>
      <c r="L370" s="1467"/>
      <c r="M370" s="1447"/>
      <c r="N370" s="1182" t="s">
        <v>122</v>
      </c>
      <c r="O370" s="1483" t="s">
        <v>90</v>
      </c>
      <c r="P370" s="1461" t="s">
        <v>62</v>
      </c>
      <c r="Q370" s="1455" t="s">
        <v>1171</v>
      </c>
      <c r="R370" s="1464" t="s">
        <v>1072</v>
      </c>
      <c r="S370" s="1464" t="s">
        <v>100</v>
      </c>
      <c r="T370" s="1464" t="s">
        <v>100</v>
      </c>
      <c r="U370" s="1464" t="s">
        <v>101</v>
      </c>
      <c r="V370" s="1464" t="s">
        <v>1073</v>
      </c>
      <c r="W370" s="1464" t="s">
        <v>1074</v>
      </c>
      <c r="X370" s="1464" t="s">
        <v>1172</v>
      </c>
      <c r="Y370" s="1464" t="s">
        <v>1173</v>
      </c>
      <c r="Z370" s="675"/>
      <c r="AA370" s="676"/>
      <c r="AB370" s="676"/>
      <c r="AC370" s="680"/>
      <c r="AD370" s="680"/>
      <c r="AE370" s="680"/>
      <c r="AF370" s="1474"/>
      <c r="AG370" s="1477"/>
      <c r="AH370" s="1477"/>
      <c r="AI370" s="1474"/>
      <c r="AJ370" s="1477"/>
      <c r="AK370" s="1478"/>
      <c r="AL370" s="71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32.25" customHeight="1">
      <c r="A371" s="303" t="s">
        <v>1032</v>
      </c>
      <c r="E371" s="10"/>
      <c r="F371" s="1446"/>
      <c r="G371" s="1447"/>
      <c r="H371" s="1447"/>
      <c r="I371" s="1468"/>
      <c r="J371" s="1468"/>
      <c r="K371" s="1473"/>
      <c r="L371" s="1468"/>
      <c r="M371" s="1447"/>
      <c r="N371" s="1459"/>
      <c r="O371" s="1483" t="s">
        <v>110</v>
      </c>
      <c r="P371" s="1462"/>
      <c r="Q371" s="1455"/>
      <c r="R371" s="1415"/>
      <c r="S371" s="1464"/>
      <c r="T371" s="1415"/>
      <c r="U371" s="1415"/>
      <c r="V371" s="1415"/>
      <c r="W371" s="1415"/>
      <c r="X371" s="1415"/>
      <c r="Y371" s="1415"/>
      <c r="Z371" s="987"/>
      <c r="AA371" s="978">
        <v>1</v>
      </c>
      <c r="AB371" s="679" t="s">
        <v>1088</v>
      </c>
      <c r="AC371" s="380">
        <v>2776.01</v>
      </c>
      <c r="AD371" s="679" t="str">
        <f>AB371</f>
        <v xml:space="preserve">     Амортизационные отчисления за исключением переоценки основных средств и нематериальных активов</v>
      </c>
      <c r="AE371" s="421">
        <v>2138</v>
      </c>
      <c r="AF371" s="1475"/>
      <c r="AG371" s="1477"/>
      <c r="AH371" s="1477"/>
      <c r="AI371" s="1475"/>
      <c r="AJ371" s="1477"/>
      <c r="AK371" s="1478"/>
      <c r="AL371" s="71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1.25" customHeight="1">
      <c r="A372" s="303" t="s">
        <v>1032</v>
      </c>
      <c r="E372" s="10"/>
      <c r="F372" s="1446"/>
      <c r="G372" s="1447"/>
      <c r="H372" s="1447"/>
      <c r="I372" s="1469"/>
      <c r="J372" s="1469"/>
      <c r="K372" s="1473"/>
      <c r="L372" s="1469"/>
      <c r="M372" s="1447"/>
      <c r="N372" s="1459"/>
      <c r="O372" s="1483" t="s">
        <v>110</v>
      </c>
      <c r="P372" s="1463"/>
      <c r="Q372" s="1455"/>
      <c r="R372" s="1415"/>
      <c r="S372" s="1464"/>
      <c r="T372" s="1415"/>
      <c r="U372" s="1415"/>
      <c r="V372" s="1415"/>
      <c r="W372" s="1415"/>
      <c r="X372" s="1415"/>
      <c r="Y372" s="1415"/>
      <c r="Z372" s="675"/>
      <c r="AA372" s="676"/>
      <c r="AB372" s="110" t="s">
        <v>1078</v>
      </c>
      <c r="AC372" s="680"/>
      <c r="AD372" s="680"/>
      <c r="AE372" s="680"/>
      <c r="AF372" s="1476"/>
      <c r="AG372" s="1477"/>
      <c r="AH372" s="1477"/>
      <c r="AI372" s="1476"/>
      <c r="AJ372" s="1477"/>
      <c r="AK372" s="1478"/>
      <c r="AL372" s="71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1.25" customHeight="1">
      <c r="A373" s="303" t="s">
        <v>1032</v>
      </c>
      <c r="E373" s="10"/>
      <c r="F373" s="1446"/>
      <c r="G373" s="1447"/>
      <c r="H373" s="1442" t="s">
        <v>111</v>
      </c>
      <c r="I373" s="1454"/>
      <c r="J373" s="1455"/>
      <c r="K373" s="1456"/>
      <c r="L373" s="1169"/>
      <c r="M373" s="1170"/>
      <c r="N373" s="675"/>
      <c r="O373" s="676"/>
      <c r="P373" s="110" t="s">
        <v>1079</v>
      </c>
      <c r="Q373" s="676"/>
      <c r="R373" s="676"/>
      <c r="S373" s="676"/>
      <c r="T373" s="676"/>
      <c r="U373" s="676"/>
      <c r="V373" s="676"/>
      <c r="W373" s="676"/>
      <c r="X373" s="676"/>
      <c r="Y373" s="676"/>
      <c r="Z373" s="676"/>
      <c r="AA373" s="676"/>
      <c r="AB373" s="676"/>
      <c r="AC373" s="676"/>
      <c r="AD373" s="676"/>
      <c r="AE373" s="683"/>
      <c r="AF373" s="1457"/>
      <c r="AG373" s="1458"/>
      <c r="AH373" s="1458"/>
      <c r="AI373" s="1457"/>
      <c r="AJ373" s="1458"/>
      <c r="AK373" s="1458"/>
      <c r="AL373" s="71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1.25" customHeight="1">
      <c r="A374" s="303" t="s">
        <v>1032</v>
      </c>
      <c r="B374" s="303" t="s">
        <v>1142</v>
      </c>
      <c r="E374" s="10"/>
      <c r="F374" s="1446"/>
      <c r="G374" s="1182" t="s">
        <v>122</v>
      </c>
      <c r="H374" s="1442" t="s">
        <v>93</v>
      </c>
      <c r="I374" s="1454" t="s">
        <v>1144</v>
      </c>
      <c r="J374" s="1455" t="s">
        <v>1176</v>
      </c>
      <c r="K374" s="1456" t="s">
        <v>1181</v>
      </c>
      <c r="L374" s="1169" t="s">
        <v>19</v>
      </c>
      <c r="M374" s="1170"/>
      <c r="N374" s="1053"/>
      <c r="O374" s="677" t="s">
        <v>382</v>
      </c>
      <c r="P374" s="678"/>
      <c r="Q374" s="678"/>
      <c r="R374" s="678"/>
      <c r="S374" s="678"/>
      <c r="T374" s="678"/>
      <c r="U374" s="678"/>
      <c r="V374" s="678"/>
      <c r="W374" s="678"/>
      <c r="X374" s="678"/>
      <c r="Y374" s="678"/>
      <c r="Z374" s="678"/>
      <c r="AA374" s="678"/>
      <c r="AB374" s="678"/>
      <c r="AC374" s="678"/>
      <c r="AD374" s="678"/>
      <c r="AE374" s="678"/>
      <c r="AF374" s="1457">
        <v>2025</v>
      </c>
      <c r="AG374" s="1458" t="s">
        <v>1070</v>
      </c>
      <c r="AH374" s="1458" t="s">
        <v>1122</v>
      </c>
      <c r="AI374" s="1457">
        <v>2025</v>
      </c>
      <c r="AJ374" s="1458" t="s">
        <v>1070</v>
      </c>
      <c r="AK374" s="1458" t="s">
        <v>1122</v>
      </c>
      <c r="AL374" s="71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10.5" customHeight="1">
      <c r="A375" s="303" t="s">
        <v>1032</v>
      </c>
      <c r="E375" s="10"/>
      <c r="F375" s="1446"/>
      <c r="G375" s="1447"/>
      <c r="H375" s="1442" t="s">
        <v>92</v>
      </c>
      <c r="I375" s="1454"/>
      <c r="J375" s="1455"/>
      <c r="K375" s="1456"/>
      <c r="L375" s="1169"/>
      <c r="M375" s="1170"/>
      <c r="N375" s="1459"/>
      <c r="O375" s="1460">
        <v>1</v>
      </c>
      <c r="P375" s="1461" t="s">
        <v>62</v>
      </c>
      <c r="Q375" s="1455" t="s">
        <v>1096</v>
      </c>
      <c r="R375" s="1464" t="s">
        <v>1072</v>
      </c>
      <c r="S375" s="1464" t="s">
        <v>100</v>
      </c>
      <c r="T375" s="1464" t="s">
        <v>100</v>
      </c>
      <c r="U375" s="1464" t="s">
        <v>101</v>
      </c>
      <c r="V375" s="1464" t="s">
        <v>1073</v>
      </c>
      <c r="W375" s="1464" t="s">
        <v>1074</v>
      </c>
      <c r="X375" s="1464" t="s">
        <v>1075</v>
      </c>
      <c r="Y375" s="1464" t="s">
        <v>1097</v>
      </c>
      <c r="Z375" s="675"/>
      <c r="AA375" s="676"/>
      <c r="AB375" s="676"/>
      <c r="AC375" s="680"/>
      <c r="AD375" s="680"/>
      <c r="AE375" s="681"/>
      <c r="AF375" s="1457"/>
      <c r="AG375" s="1458"/>
      <c r="AH375" s="1458"/>
      <c r="AI375" s="1457"/>
      <c r="AJ375" s="1458"/>
      <c r="AK375" s="1458"/>
      <c r="AL375" s="71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32.25" customHeight="1">
      <c r="A376" s="303" t="s">
        <v>1032</v>
      </c>
      <c r="E376" s="10"/>
      <c r="F376" s="1446"/>
      <c r="G376" s="1447"/>
      <c r="H376" s="1442" t="s">
        <v>92</v>
      </c>
      <c r="I376" s="1454"/>
      <c r="J376" s="1455"/>
      <c r="K376" s="1456"/>
      <c r="L376" s="1169"/>
      <c r="M376" s="1170"/>
      <c r="N376" s="1459"/>
      <c r="O376" s="1460"/>
      <c r="P376" s="1462"/>
      <c r="Q376" s="1455"/>
      <c r="R376" s="1415"/>
      <c r="S376" s="1464"/>
      <c r="T376" s="1415"/>
      <c r="U376" s="1415"/>
      <c r="V376" s="1415"/>
      <c r="W376" s="1415"/>
      <c r="X376" s="1415"/>
      <c r="Y376" s="1415"/>
      <c r="Z376" s="987"/>
      <c r="AA376" s="978">
        <v>1</v>
      </c>
      <c r="AB376" s="679" t="s">
        <v>1088</v>
      </c>
      <c r="AC376" s="380">
        <v>439.68</v>
      </c>
      <c r="AD376" s="679" t="str">
        <f>AB376</f>
        <v xml:space="preserve">     Амортизационные отчисления за исключением переоценки основных средств и нематериальных активов</v>
      </c>
      <c r="AE376" s="380">
        <v>380</v>
      </c>
      <c r="AF376" s="1457"/>
      <c r="AG376" s="1458"/>
      <c r="AH376" s="1458"/>
      <c r="AI376" s="1457"/>
      <c r="AJ376" s="1458"/>
      <c r="AK376" s="1458"/>
      <c r="AL376" s="71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1.25" customHeight="1">
      <c r="A377" s="303" t="s">
        <v>1032</v>
      </c>
      <c r="E377" s="10"/>
      <c r="F377" s="1446"/>
      <c r="G377" s="1447"/>
      <c r="H377" s="1442" t="s">
        <v>92</v>
      </c>
      <c r="I377" s="1454"/>
      <c r="J377" s="1455"/>
      <c r="K377" s="1456"/>
      <c r="L377" s="1169"/>
      <c r="M377" s="1170"/>
      <c r="N377" s="1459"/>
      <c r="O377" s="1460"/>
      <c r="P377" s="1463"/>
      <c r="Q377" s="1455"/>
      <c r="R377" s="1415"/>
      <c r="S377" s="1464"/>
      <c r="T377" s="1415"/>
      <c r="U377" s="1415"/>
      <c r="V377" s="1415"/>
      <c r="W377" s="1415"/>
      <c r="X377" s="1415"/>
      <c r="Y377" s="1415"/>
      <c r="Z377" s="675"/>
      <c r="AA377" s="676"/>
      <c r="AB377" s="110" t="s">
        <v>1078</v>
      </c>
      <c r="AC377" s="680"/>
      <c r="AD377" s="680"/>
      <c r="AE377" s="682"/>
      <c r="AF377" s="1457"/>
      <c r="AG377" s="1458"/>
      <c r="AH377" s="1458"/>
      <c r="AI377" s="1457"/>
      <c r="AJ377" s="1458"/>
      <c r="AK377" s="1458"/>
      <c r="AL377" s="71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1.25" customHeight="1">
      <c r="A378" s="303" t="s">
        <v>1032</v>
      </c>
      <c r="E378" s="10"/>
      <c r="F378" s="1446"/>
      <c r="G378" s="1447"/>
      <c r="H378" s="1442" t="s">
        <v>92</v>
      </c>
      <c r="I378" s="1454"/>
      <c r="J378" s="1455"/>
      <c r="K378" s="1456"/>
      <c r="L378" s="1169"/>
      <c r="M378" s="1170"/>
      <c r="N378" s="675"/>
      <c r="O378" s="676"/>
      <c r="P378" s="110" t="s">
        <v>1079</v>
      </c>
      <c r="Q378" s="676"/>
      <c r="R378" s="676"/>
      <c r="S378" s="676"/>
      <c r="T378" s="676"/>
      <c r="U378" s="676"/>
      <c r="V378" s="676"/>
      <c r="W378" s="676"/>
      <c r="X378" s="676"/>
      <c r="Y378" s="676"/>
      <c r="Z378" s="676"/>
      <c r="AA378" s="676"/>
      <c r="AB378" s="676"/>
      <c r="AC378" s="676"/>
      <c r="AD378" s="676"/>
      <c r="AE378" s="683"/>
      <c r="AF378" s="1457"/>
      <c r="AG378" s="1458"/>
      <c r="AH378" s="1458"/>
      <c r="AI378" s="1457"/>
      <c r="AJ378" s="1458"/>
      <c r="AK378" s="1458"/>
      <c r="AL378" s="71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1.25" customHeight="1">
      <c r="A379" s="303" t="s">
        <v>1032</v>
      </c>
      <c r="B379" s="303" t="s">
        <v>22</v>
      </c>
      <c r="E379" s="10"/>
      <c r="F379" s="1446"/>
      <c r="G379" s="1182" t="s">
        <v>122</v>
      </c>
      <c r="H379" s="1442" t="s">
        <v>112</v>
      </c>
      <c r="I379" s="1454" t="s">
        <v>1148</v>
      </c>
      <c r="J379" s="1465" t="s">
        <v>22</v>
      </c>
      <c r="K379" s="1456" t="s">
        <v>1182</v>
      </c>
      <c r="L379" s="1169" t="s">
        <v>19</v>
      </c>
      <c r="M379" s="1170"/>
      <c r="N379" s="1053"/>
      <c r="O379" s="677" t="s">
        <v>382</v>
      </c>
      <c r="P379" s="678"/>
      <c r="Q379" s="678"/>
      <c r="R379" s="678"/>
      <c r="S379" s="678"/>
      <c r="T379" s="678"/>
      <c r="U379" s="678"/>
      <c r="V379" s="678"/>
      <c r="W379" s="678"/>
      <c r="X379" s="678"/>
      <c r="Y379" s="678"/>
      <c r="Z379" s="678"/>
      <c r="AA379" s="678"/>
      <c r="AB379" s="678"/>
      <c r="AC379" s="678"/>
      <c r="AD379" s="678"/>
      <c r="AE379" s="678"/>
      <c r="AF379" s="1457">
        <v>2025</v>
      </c>
      <c r="AG379" s="1458" t="s">
        <v>1081</v>
      </c>
      <c r="AH379" s="1458" t="s">
        <v>1122</v>
      </c>
      <c r="AI379" s="1457">
        <v>2025</v>
      </c>
      <c r="AJ379" s="1458" t="s">
        <v>1070</v>
      </c>
      <c r="AK379" s="1458" t="s">
        <v>1122</v>
      </c>
      <c r="AL379" s="71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1.25" customHeight="1">
      <c r="A380" s="303" t="s">
        <v>1032</v>
      </c>
      <c r="E380" s="10"/>
      <c r="F380" s="1446"/>
      <c r="G380" s="1447"/>
      <c r="H380" s="1442" t="s">
        <v>93</v>
      </c>
      <c r="I380" s="1454"/>
      <c r="J380" s="1465"/>
      <c r="K380" s="1456"/>
      <c r="L380" s="1169"/>
      <c r="M380" s="1170"/>
      <c r="N380" s="1459"/>
      <c r="O380" s="1460">
        <v>1</v>
      </c>
      <c r="P380" s="1461" t="s">
        <v>62</v>
      </c>
      <c r="Q380" s="1455" t="s">
        <v>1096</v>
      </c>
      <c r="R380" s="1464" t="s">
        <v>1072</v>
      </c>
      <c r="S380" s="1464" t="s">
        <v>100</v>
      </c>
      <c r="T380" s="1464" t="s">
        <v>100</v>
      </c>
      <c r="U380" s="1464" t="s">
        <v>101</v>
      </c>
      <c r="V380" s="1464" t="s">
        <v>1073</v>
      </c>
      <c r="W380" s="1464" t="s">
        <v>1074</v>
      </c>
      <c r="X380" s="1464" t="s">
        <v>1075</v>
      </c>
      <c r="Y380" s="1464" t="s">
        <v>1097</v>
      </c>
      <c r="Z380" s="675"/>
      <c r="AA380" s="676"/>
      <c r="AB380" s="676"/>
      <c r="AC380" s="680"/>
      <c r="AD380" s="680"/>
      <c r="AE380" s="681"/>
      <c r="AF380" s="1457"/>
      <c r="AG380" s="1458"/>
      <c r="AH380" s="1458"/>
      <c r="AI380" s="1457"/>
      <c r="AJ380" s="1458"/>
      <c r="AK380" s="1458"/>
      <c r="AL380" s="71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32.25" customHeight="1">
      <c r="A381" s="303" t="s">
        <v>1032</v>
      </c>
      <c r="E381" s="10"/>
      <c r="F381" s="1446"/>
      <c r="G381" s="1447"/>
      <c r="H381" s="1442" t="s">
        <v>93</v>
      </c>
      <c r="I381" s="1454"/>
      <c r="J381" s="1465"/>
      <c r="K381" s="1456"/>
      <c r="L381" s="1169"/>
      <c r="M381" s="1170"/>
      <c r="N381" s="1459"/>
      <c r="O381" s="1460"/>
      <c r="P381" s="1462"/>
      <c r="Q381" s="1455"/>
      <c r="R381" s="1415"/>
      <c r="S381" s="1464"/>
      <c r="T381" s="1415"/>
      <c r="U381" s="1415"/>
      <c r="V381" s="1415"/>
      <c r="W381" s="1415"/>
      <c r="X381" s="1415"/>
      <c r="Y381" s="1415"/>
      <c r="Z381" s="987"/>
      <c r="AA381" s="978">
        <v>1</v>
      </c>
      <c r="AB381" s="679" t="s">
        <v>1088</v>
      </c>
      <c r="AC381" s="380">
        <f>14847.71-AC382</f>
        <v>5069.3780000000006</v>
      </c>
      <c r="AD381" s="679" t="str">
        <f>AB381</f>
        <v xml:space="preserve">     Амортизационные отчисления за исключением переоценки основных средств и нематериальных активов</v>
      </c>
      <c r="AE381" s="380">
        <v>5069.3779999999997</v>
      </c>
      <c r="AF381" s="1457"/>
      <c r="AG381" s="1458"/>
      <c r="AH381" s="1458"/>
      <c r="AI381" s="1457"/>
      <c r="AJ381" s="1458"/>
      <c r="AK381" s="1458"/>
      <c r="AL381" s="71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1.25" customHeight="1">
      <c r="A382" s="303" t="s">
        <v>1032</v>
      </c>
      <c r="E382" s="10"/>
      <c r="F382" s="1447"/>
      <c r="G382" s="1447"/>
      <c r="H382" s="1447"/>
      <c r="I382" s="1447"/>
      <c r="J382" s="1447"/>
      <c r="K382" s="1447"/>
      <c r="L382" s="1447"/>
      <c r="M382" s="1447"/>
      <c r="N382" s="1447"/>
      <c r="O382" s="1447"/>
      <c r="P382" s="1447"/>
      <c r="Q382" s="1447"/>
      <c r="R382" s="1447"/>
      <c r="S382" s="1447"/>
      <c r="T382" s="1447"/>
      <c r="U382" s="1447"/>
      <c r="V382" s="1447"/>
      <c r="W382" s="1447"/>
      <c r="X382" s="1447"/>
      <c r="Y382" s="1447"/>
      <c r="Z382" s="87" t="s">
        <v>122</v>
      </c>
      <c r="AA382" s="982" t="s">
        <v>110</v>
      </c>
      <c r="AB382" s="679" t="s">
        <v>1108</v>
      </c>
      <c r="AC382" s="380">
        <f>8148.61*1.2</f>
        <v>9778.3319999999985</v>
      </c>
      <c r="AD382" s="679" t="str">
        <f>AB382</f>
        <v xml:space="preserve">  Прочие</v>
      </c>
      <c r="AE382" s="380">
        <v>13917.5</v>
      </c>
      <c r="AF382" s="1479"/>
      <c r="AG382" s="1477"/>
      <c r="AH382" s="1477"/>
      <c r="AI382" s="1479"/>
      <c r="AJ382" s="1477"/>
      <c r="AK382" s="1478"/>
      <c r="AL382" s="71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1.25" customHeight="1">
      <c r="A383" s="303" t="s">
        <v>1032</v>
      </c>
      <c r="E383" s="10"/>
      <c r="F383" s="1446"/>
      <c r="G383" s="1447"/>
      <c r="H383" s="1442" t="s">
        <v>93</v>
      </c>
      <c r="I383" s="1454"/>
      <c r="J383" s="1465"/>
      <c r="K383" s="1456"/>
      <c r="L383" s="1169"/>
      <c r="M383" s="1170"/>
      <c r="N383" s="1459"/>
      <c r="O383" s="1460"/>
      <c r="P383" s="1463"/>
      <c r="Q383" s="1455"/>
      <c r="R383" s="1415"/>
      <c r="S383" s="1464"/>
      <c r="T383" s="1415"/>
      <c r="U383" s="1415"/>
      <c r="V383" s="1415"/>
      <c r="W383" s="1415"/>
      <c r="X383" s="1415"/>
      <c r="Y383" s="1415"/>
      <c r="Z383" s="675"/>
      <c r="AA383" s="676"/>
      <c r="AB383" s="110" t="s">
        <v>1078</v>
      </c>
      <c r="AC383" s="680"/>
      <c r="AD383" s="680"/>
      <c r="AE383" s="682"/>
      <c r="AF383" s="1457"/>
      <c r="AG383" s="1458"/>
      <c r="AH383" s="1458"/>
      <c r="AI383" s="1457"/>
      <c r="AJ383" s="1458"/>
      <c r="AK383" s="1458"/>
      <c r="AL383" s="71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1.25" customHeight="1">
      <c r="A384" s="303" t="s">
        <v>1032</v>
      </c>
      <c r="E384" s="10"/>
      <c r="F384" s="1446"/>
      <c r="G384" s="1447"/>
      <c r="H384" s="1442" t="s">
        <v>93</v>
      </c>
      <c r="I384" s="1454"/>
      <c r="J384" s="1465"/>
      <c r="K384" s="1456"/>
      <c r="L384" s="1169"/>
      <c r="M384" s="1170"/>
      <c r="N384" s="675"/>
      <c r="O384" s="676"/>
      <c r="P384" s="110" t="s">
        <v>1079</v>
      </c>
      <c r="Q384" s="676"/>
      <c r="R384" s="676"/>
      <c r="S384" s="676"/>
      <c r="T384" s="676"/>
      <c r="U384" s="676"/>
      <c r="V384" s="676"/>
      <c r="W384" s="676"/>
      <c r="X384" s="676"/>
      <c r="Y384" s="676"/>
      <c r="Z384" s="676"/>
      <c r="AA384" s="676"/>
      <c r="AB384" s="676"/>
      <c r="AC384" s="676"/>
      <c r="AD384" s="676"/>
      <c r="AE384" s="683"/>
      <c r="AF384" s="1457"/>
      <c r="AG384" s="1458"/>
      <c r="AH384" s="1458"/>
      <c r="AI384" s="1457"/>
      <c r="AJ384" s="1458"/>
      <c r="AK384" s="1458"/>
      <c r="AL384" s="71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8" ht="11.25" customHeight="1">
      <c r="A385" s="303" t="s">
        <v>1032</v>
      </c>
      <c r="B385" s="303" t="s">
        <v>22</v>
      </c>
      <c r="E385" s="10"/>
      <c r="F385" s="1446"/>
      <c r="G385" s="1182" t="s">
        <v>122</v>
      </c>
      <c r="H385" s="1442" t="s">
        <v>156</v>
      </c>
      <c r="I385" s="1454" t="s">
        <v>1148</v>
      </c>
      <c r="J385" s="1465" t="s">
        <v>22</v>
      </c>
      <c r="K385" s="1456" t="s">
        <v>1178</v>
      </c>
      <c r="L385" s="1169" t="s">
        <v>19</v>
      </c>
      <c r="M385" s="1170"/>
      <c r="N385" s="1053"/>
      <c r="O385" s="677" t="s">
        <v>382</v>
      </c>
      <c r="P385" s="678"/>
      <c r="Q385" s="678"/>
      <c r="R385" s="678"/>
      <c r="S385" s="678"/>
      <c r="T385" s="678"/>
      <c r="U385" s="678"/>
      <c r="V385" s="678"/>
      <c r="W385" s="678"/>
      <c r="X385" s="678"/>
      <c r="Y385" s="678"/>
      <c r="Z385" s="678"/>
      <c r="AA385" s="678"/>
      <c r="AB385" s="678"/>
      <c r="AC385" s="678"/>
      <c r="AD385" s="678"/>
      <c r="AE385" s="678"/>
      <c r="AF385" s="1457">
        <v>2025</v>
      </c>
      <c r="AG385" s="1458" t="s">
        <v>1115</v>
      </c>
      <c r="AH385" s="1458" t="s">
        <v>1122</v>
      </c>
      <c r="AI385" s="1457">
        <v>2025</v>
      </c>
      <c r="AJ385" s="1458" t="s">
        <v>1154</v>
      </c>
      <c r="AK385" s="1458" t="s">
        <v>1122</v>
      </c>
      <c r="AL385" s="71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8" ht="10.5" customHeight="1">
      <c r="A386" s="303" t="s">
        <v>1032</v>
      </c>
      <c r="E386" s="10"/>
      <c r="F386" s="1446"/>
      <c r="G386" s="1447"/>
      <c r="H386" s="1442" t="s">
        <v>112</v>
      </c>
      <c r="I386" s="1454"/>
      <c r="J386" s="1465"/>
      <c r="K386" s="1456"/>
      <c r="L386" s="1169"/>
      <c r="M386" s="1170"/>
      <c r="N386" s="1459"/>
      <c r="O386" s="1460">
        <v>1</v>
      </c>
      <c r="P386" s="1461" t="s">
        <v>62</v>
      </c>
      <c r="Q386" s="1455" t="s">
        <v>1171</v>
      </c>
      <c r="R386" s="1464" t="s">
        <v>1072</v>
      </c>
      <c r="S386" s="1464" t="s">
        <v>100</v>
      </c>
      <c r="T386" s="1464" t="s">
        <v>100</v>
      </c>
      <c r="U386" s="1464" t="s">
        <v>101</v>
      </c>
      <c r="V386" s="1464" t="s">
        <v>1073</v>
      </c>
      <c r="W386" s="1464" t="s">
        <v>1074</v>
      </c>
      <c r="X386" s="1464" t="s">
        <v>1172</v>
      </c>
      <c r="Y386" s="1464" t="s">
        <v>1173</v>
      </c>
      <c r="Z386" s="675"/>
      <c r="AA386" s="676"/>
      <c r="AB386" s="676"/>
      <c r="AC386" s="680"/>
      <c r="AD386" s="680"/>
      <c r="AE386" s="681"/>
      <c r="AF386" s="1457"/>
      <c r="AG386" s="1458"/>
      <c r="AH386" s="1458"/>
      <c r="AI386" s="1457"/>
      <c r="AJ386" s="1458"/>
      <c r="AK386" s="1458"/>
      <c r="AL386" s="71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8" ht="32.25" customHeight="1">
      <c r="A387" s="303" t="s">
        <v>1032</v>
      </c>
      <c r="E387" s="10"/>
      <c r="F387" s="1446"/>
      <c r="G387" s="1447"/>
      <c r="H387" s="1442" t="s">
        <v>112</v>
      </c>
      <c r="I387" s="1454"/>
      <c r="J387" s="1465"/>
      <c r="K387" s="1456"/>
      <c r="L387" s="1169"/>
      <c r="M387" s="1170"/>
      <c r="N387" s="1459"/>
      <c r="O387" s="1460"/>
      <c r="P387" s="1462"/>
      <c r="Q387" s="1455"/>
      <c r="R387" s="1415"/>
      <c r="S387" s="1464"/>
      <c r="T387" s="1415"/>
      <c r="U387" s="1415"/>
      <c r="V387" s="1415"/>
      <c r="W387" s="1415"/>
      <c r="X387" s="1415"/>
      <c r="Y387" s="1415"/>
      <c r="Z387" s="987"/>
      <c r="AA387" s="978">
        <v>1</v>
      </c>
      <c r="AB387" s="679" t="s">
        <v>1088</v>
      </c>
      <c r="AC387" s="380">
        <f>2512.62-AC388</f>
        <v>1932.7919999999999</v>
      </c>
      <c r="AD387" s="679" t="str">
        <f>AB387</f>
        <v xml:space="preserve">     Амортизационные отчисления за исключением переоценки основных средств и нематериальных активов</v>
      </c>
      <c r="AE387" s="380">
        <v>1932.7919999999999</v>
      </c>
      <c r="AF387" s="1457"/>
      <c r="AG387" s="1458"/>
      <c r="AH387" s="1458"/>
      <c r="AI387" s="1457"/>
      <c r="AJ387" s="1458"/>
      <c r="AK387" s="1458"/>
      <c r="AL387" s="71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8" ht="11.25" customHeight="1">
      <c r="A388" s="303" t="s">
        <v>1032</v>
      </c>
      <c r="E388" s="10"/>
      <c r="F388" s="1447"/>
      <c r="G388" s="1447"/>
      <c r="H388" s="1447"/>
      <c r="I388" s="1447"/>
      <c r="J388" s="1447"/>
      <c r="K388" s="1447"/>
      <c r="L388" s="1447"/>
      <c r="M388" s="1447"/>
      <c r="N388" s="1447"/>
      <c r="O388" s="1447"/>
      <c r="P388" s="1447"/>
      <c r="Q388" s="1447"/>
      <c r="R388" s="1447"/>
      <c r="S388" s="1447"/>
      <c r="T388" s="1447"/>
      <c r="U388" s="1447"/>
      <c r="V388" s="1447"/>
      <c r="W388" s="1447"/>
      <c r="X388" s="1447"/>
      <c r="Y388" s="1447"/>
      <c r="Z388" s="87" t="s">
        <v>122</v>
      </c>
      <c r="AA388" s="982" t="s">
        <v>110</v>
      </c>
      <c r="AB388" s="679" t="s">
        <v>1108</v>
      </c>
      <c r="AC388" s="380">
        <f>483.19*1.2</f>
        <v>579.82799999999997</v>
      </c>
      <c r="AD388" s="679" t="str">
        <f>AB388</f>
        <v xml:space="preserve">  Прочие</v>
      </c>
      <c r="AE388" s="380">
        <v>579.82799999999997</v>
      </c>
      <c r="AF388" s="1479"/>
      <c r="AG388" s="1477"/>
      <c r="AH388" s="1477"/>
      <c r="AI388" s="1479"/>
      <c r="AJ388" s="1477"/>
      <c r="AK388" s="1478"/>
      <c r="AL388" s="71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8" ht="11.25" customHeight="1">
      <c r="A389" s="303" t="s">
        <v>1032</v>
      </c>
      <c r="E389" s="10"/>
      <c r="F389" s="1446"/>
      <c r="G389" s="1447"/>
      <c r="H389" s="1442" t="s">
        <v>112</v>
      </c>
      <c r="I389" s="1454"/>
      <c r="J389" s="1465"/>
      <c r="K389" s="1456"/>
      <c r="L389" s="1169"/>
      <c r="M389" s="1170"/>
      <c r="N389" s="1459"/>
      <c r="O389" s="1460"/>
      <c r="P389" s="1463"/>
      <c r="Q389" s="1455"/>
      <c r="R389" s="1415"/>
      <c r="S389" s="1464"/>
      <c r="T389" s="1415"/>
      <c r="U389" s="1415"/>
      <c r="V389" s="1415"/>
      <c r="W389" s="1415"/>
      <c r="X389" s="1415"/>
      <c r="Y389" s="1415"/>
      <c r="Z389" s="675"/>
      <c r="AA389" s="676"/>
      <c r="AB389" s="110" t="s">
        <v>1078</v>
      </c>
      <c r="AC389" s="680"/>
      <c r="AD389" s="680"/>
      <c r="AE389" s="682"/>
      <c r="AF389" s="1457"/>
      <c r="AG389" s="1458"/>
      <c r="AH389" s="1458"/>
      <c r="AI389" s="1457"/>
      <c r="AJ389" s="1458"/>
      <c r="AK389" s="1458"/>
      <c r="AL389" s="71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8" ht="11.25" customHeight="1">
      <c r="A390" s="303" t="s">
        <v>1032</v>
      </c>
      <c r="E390" s="10"/>
      <c r="F390" s="1446"/>
      <c r="G390" s="1447"/>
      <c r="H390" s="1442" t="s">
        <v>112</v>
      </c>
      <c r="I390" s="1454"/>
      <c r="J390" s="1465"/>
      <c r="K390" s="1456"/>
      <c r="L390" s="1169"/>
      <c r="M390" s="1170"/>
      <c r="N390" s="675"/>
      <c r="O390" s="676"/>
      <c r="P390" s="110" t="s">
        <v>1079</v>
      </c>
      <c r="Q390" s="676"/>
      <c r="R390" s="676"/>
      <c r="S390" s="676"/>
      <c r="T390" s="676"/>
      <c r="U390" s="676"/>
      <c r="V390" s="676"/>
      <c r="W390" s="676"/>
      <c r="X390" s="676"/>
      <c r="Y390" s="676"/>
      <c r="Z390" s="676"/>
      <c r="AA390" s="676"/>
      <c r="AB390" s="676"/>
      <c r="AC390" s="676"/>
      <c r="AD390" s="676"/>
      <c r="AE390" s="683"/>
      <c r="AF390" s="1457"/>
      <c r="AG390" s="1458"/>
      <c r="AH390" s="1458"/>
      <c r="AI390" s="1457"/>
      <c r="AJ390" s="1458"/>
      <c r="AK390" s="1458"/>
      <c r="AL390" s="71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8" ht="11.25" customHeight="1">
      <c r="A391" s="303" t="s">
        <v>1032</v>
      </c>
      <c r="B391" s="303" t="s">
        <v>22</v>
      </c>
      <c r="E391" s="10"/>
      <c r="F391" s="1446"/>
      <c r="G391" s="1182" t="s">
        <v>122</v>
      </c>
      <c r="H391" s="1442" t="s">
        <v>157</v>
      </c>
      <c r="I391" s="1454" t="s">
        <v>1148</v>
      </c>
      <c r="J391" s="1465" t="s">
        <v>22</v>
      </c>
      <c r="K391" s="1456" t="s">
        <v>1183</v>
      </c>
      <c r="L391" s="1169" t="s">
        <v>19</v>
      </c>
      <c r="M391" s="1170"/>
      <c r="N391" s="1053"/>
      <c r="O391" s="677" t="s">
        <v>382</v>
      </c>
      <c r="P391" s="678"/>
      <c r="Q391" s="678"/>
      <c r="R391" s="678"/>
      <c r="S391" s="678"/>
      <c r="T391" s="678"/>
      <c r="U391" s="678"/>
      <c r="V391" s="678"/>
      <c r="W391" s="678"/>
      <c r="X391" s="678"/>
      <c r="Y391" s="678"/>
      <c r="Z391" s="678"/>
      <c r="AA391" s="678"/>
      <c r="AB391" s="678"/>
      <c r="AC391" s="678"/>
      <c r="AD391" s="678"/>
      <c r="AE391" s="678"/>
      <c r="AF391" s="1457">
        <v>2025</v>
      </c>
      <c r="AG391" s="1458" t="s">
        <v>1068</v>
      </c>
      <c r="AH391" s="1458" t="s">
        <v>1122</v>
      </c>
      <c r="AI391" s="1457">
        <v>2025</v>
      </c>
      <c r="AJ391" s="1458" t="s">
        <v>1115</v>
      </c>
      <c r="AK391" s="1458" t="s">
        <v>1122</v>
      </c>
      <c r="AL391" s="71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8" ht="11.25" customHeight="1">
      <c r="A392" s="303" t="s">
        <v>1032</v>
      </c>
      <c r="E392" s="10"/>
      <c r="F392" s="1446"/>
      <c r="G392" s="1447"/>
      <c r="H392" s="1442" t="s">
        <v>156</v>
      </c>
      <c r="I392" s="1454"/>
      <c r="J392" s="1465"/>
      <c r="K392" s="1456"/>
      <c r="L392" s="1169"/>
      <c r="M392" s="1170"/>
      <c r="N392" s="1459"/>
      <c r="O392" s="1460">
        <v>1</v>
      </c>
      <c r="P392" s="1461" t="s">
        <v>62</v>
      </c>
      <c r="Q392" s="1455" t="s">
        <v>1071</v>
      </c>
      <c r="R392" s="1464" t="s">
        <v>1072</v>
      </c>
      <c r="S392" s="1464" t="s">
        <v>100</v>
      </c>
      <c r="T392" s="1464" t="s">
        <v>100</v>
      </c>
      <c r="U392" s="1464" t="s">
        <v>101</v>
      </c>
      <c r="V392" s="1464" t="s">
        <v>1073</v>
      </c>
      <c r="W392" s="1464" t="s">
        <v>1074</v>
      </c>
      <c r="X392" s="1464" t="s">
        <v>1075</v>
      </c>
      <c r="Y392" s="1464" t="s">
        <v>1076</v>
      </c>
      <c r="Z392" s="675"/>
      <c r="AA392" s="676"/>
      <c r="AB392" s="676"/>
      <c r="AC392" s="680"/>
      <c r="AD392" s="680"/>
      <c r="AE392" s="681"/>
      <c r="AF392" s="1457"/>
      <c r="AG392" s="1458"/>
      <c r="AH392" s="1458"/>
      <c r="AI392" s="1457"/>
      <c r="AJ392" s="1458"/>
      <c r="AK392" s="1458"/>
      <c r="AL392" s="71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8" ht="32.25" customHeight="1">
      <c r="A393" s="303" t="s">
        <v>1032</v>
      </c>
      <c r="E393" s="10"/>
      <c r="F393" s="1446"/>
      <c r="G393" s="1447"/>
      <c r="H393" s="1442" t="s">
        <v>156</v>
      </c>
      <c r="I393" s="1454"/>
      <c r="J393" s="1465"/>
      <c r="K393" s="1456"/>
      <c r="L393" s="1169"/>
      <c r="M393" s="1170"/>
      <c r="N393" s="1459"/>
      <c r="O393" s="1460"/>
      <c r="P393" s="1462"/>
      <c r="Q393" s="1455"/>
      <c r="R393" s="1415"/>
      <c r="S393" s="1464"/>
      <c r="T393" s="1415"/>
      <c r="U393" s="1415"/>
      <c r="V393" s="1415"/>
      <c r="W393" s="1415"/>
      <c r="X393" s="1415"/>
      <c r="Y393" s="1415"/>
      <c r="Z393" s="987"/>
      <c r="AA393" s="978">
        <v>1</v>
      </c>
      <c r="AB393" s="679" t="s">
        <v>1088</v>
      </c>
      <c r="AC393" s="380">
        <f>4063.61-AC394</f>
        <v>3456.6020000000003</v>
      </c>
      <c r="AD393" s="679" t="str">
        <f>AB393</f>
        <v xml:space="preserve">     Амортизационные отчисления за исключением переоценки основных средств и нематериальных активов</v>
      </c>
      <c r="AE393" s="380">
        <v>3150.45</v>
      </c>
      <c r="AF393" s="1457"/>
      <c r="AG393" s="1458"/>
      <c r="AH393" s="1458"/>
      <c r="AI393" s="1457"/>
      <c r="AJ393" s="1458"/>
      <c r="AK393" s="1458"/>
      <c r="AL393" s="71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13.5" customHeight="1">
      <c r="A394" s="303" t="s">
        <v>1032</v>
      </c>
      <c r="E394" s="10"/>
      <c r="F394" s="1447"/>
      <c r="G394" s="1447"/>
      <c r="H394" s="1447"/>
      <c r="I394" s="1447"/>
      <c r="J394" s="1447"/>
      <c r="K394" s="1447"/>
      <c r="L394" s="1447"/>
      <c r="M394" s="1447"/>
      <c r="N394" s="1447"/>
      <c r="O394" s="1447"/>
      <c r="P394" s="1447"/>
      <c r="Q394" s="1447"/>
      <c r="R394" s="1447"/>
      <c r="S394" s="1447"/>
      <c r="T394" s="1447"/>
      <c r="U394" s="1447"/>
      <c r="V394" s="1447"/>
      <c r="W394" s="1447"/>
      <c r="X394" s="1447"/>
      <c r="Y394" s="1447"/>
      <c r="Z394" s="87" t="s">
        <v>122</v>
      </c>
      <c r="AA394" s="982" t="s">
        <v>110</v>
      </c>
      <c r="AB394" s="679" t="s">
        <v>1108</v>
      </c>
      <c r="AC394" s="380">
        <f>505.84*1.2</f>
        <v>607.00799999999992</v>
      </c>
      <c r="AD394" s="679" t="str">
        <f>AB394</f>
        <v xml:space="preserve">  Прочие</v>
      </c>
      <c r="AE394" s="380">
        <v>0</v>
      </c>
      <c r="AF394" s="1479"/>
      <c r="AG394" s="1477"/>
      <c r="AH394" s="1477"/>
      <c r="AI394" s="1479"/>
      <c r="AJ394" s="1477"/>
      <c r="AK394" s="1478"/>
      <c r="AL394" s="71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11.25" customHeight="1">
      <c r="A395" s="303" t="s">
        <v>1032</v>
      </c>
      <c r="E395" s="10"/>
      <c r="F395" s="1446"/>
      <c r="G395" s="1447"/>
      <c r="H395" s="1442" t="s">
        <v>156</v>
      </c>
      <c r="I395" s="1454"/>
      <c r="J395" s="1465"/>
      <c r="K395" s="1456"/>
      <c r="L395" s="1169"/>
      <c r="M395" s="1170"/>
      <c r="N395" s="1459"/>
      <c r="O395" s="1460"/>
      <c r="P395" s="1463"/>
      <c r="Q395" s="1455"/>
      <c r="R395" s="1415"/>
      <c r="S395" s="1464"/>
      <c r="T395" s="1415"/>
      <c r="U395" s="1415"/>
      <c r="V395" s="1415"/>
      <c r="W395" s="1415"/>
      <c r="X395" s="1415"/>
      <c r="Y395" s="1415"/>
      <c r="Z395" s="675"/>
      <c r="AA395" s="676"/>
      <c r="AB395" s="110" t="s">
        <v>1078</v>
      </c>
      <c r="AC395" s="680"/>
      <c r="AD395" s="680"/>
      <c r="AE395" s="682"/>
      <c r="AF395" s="1457"/>
      <c r="AG395" s="1458"/>
      <c r="AH395" s="1458"/>
      <c r="AI395" s="1457"/>
      <c r="AJ395" s="1458"/>
      <c r="AK395" s="1458"/>
      <c r="AL395" s="71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8" ht="11.25" customHeight="1">
      <c r="A396" s="303" t="s">
        <v>1032</v>
      </c>
      <c r="E396" s="10"/>
      <c r="F396" s="1446"/>
      <c r="G396" s="1447"/>
      <c r="H396" s="1442" t="s">
        <v>156</v>
      </c>
      <c r="I396" s="1454"/>
      <c r="J396" s="1465"/>
      <c r="K396" s="1456"/>
      <c r="L396" s="1169"/>
      <c r="M396" s="1170"/>
      <c r="N396" s="675"/>
      <c r="O396" s="676"/>
      <c r="P396" s="110" t="s">
        <v>1079</v>
      </c>
      <c r="Q396" s="676"/>
      <c r="R396" s="676"/>
      <c r="S396" s="676"/>
      <c r="T396" s="676"/>
      <c r="U396" s="676"/>
      <c r="V396" s="676"/>
      <c r="W396" s="676"/>
      <c r="X396" s="676"/>
      <c r="Y396" s="676"/>
      <c r="Z396" s="676"/>
      <c r="AA396" s="676"/>
      <c r="AB396" s="676"/>
      <c r="AC396" s="676"/>
      <c r="AD396" s="676"/>
      <c r="AE396" s="683"/>
      <c r="AF396" s="1457"/>
      <c r="AG396" s="1458"/>
      <c r="AH396" s="1458"/>
      <c r="AI396" s="1457"/>
      <c r="AJ396" s="1458"/>
      <c r="AK396" s="1458"/>
      <c r="AL396" s="71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8" ht="11.25" customHeight="1">
      <c r="A397" s="303" t="s">
        <v>1032</v>
      </c>
      <c r="B397" s="303" t="s">
        <v>22</v>
      </c>
      <c r="E397" s="10"/>
      <c r="F397" s="1446"/>
      <c r="G397" s="1182" t="s">
        <v>122</v>
      </c>
      <c r="H397" s="1442" t="s">
        <v>158</v>
      </c>
      <c r="I397" s="1454" t="s">
        <v>1148</v>
      </c>
      <c r="J397" s="1465" t="s">
        <v>22</v>
      </c>
      <c r="K397" s="1456" t="s">
        <v>1161</v>
      </c>
      <c r="L397" s="1169" t="s">
        <v>19</v>
      </c>
      <c r="M397" s="1170"/>
      <c r="N397" s="1053"/>
      <c r="O397" s="677" t="s">
        <v>382</v>
      </c>
      <c r="P397" s="678"/>
      <c r="Q397" s="678"/>
      <c r="R397" s="678"/>
      <c r="S397" s="678"/>
      <c r="T397" s="678"/>
      <c r="U397" s="678"/>
      <c r="V397" s="678"/>
      <c r="W397" s="678"/>
      <c r="X397" s="678"/>
      <c r="Y397" s="678"/>
      <c r="Z397" s="678"/>
      <c r="AA397" s="678"/>
      <c r="AB397" s="678"/>
      <c r="AC397" s="678"/>
      <c r="AD397" s="678"/>
      <c r="AE397" s="678"/>
      <c r="AF397" s="1457">
        <v>2025</v>
      </c>
      <c r="AG397" s="1458" t="s">
        <v>1070</v>
      </c>
      <c r="AH397" s="1458" t="s">
        <v>1122</v>
      </c>
      <c r="AI397" s="1457">
        <v>2025</v>
      </c>
      <c r="AJ397" s="1458" t="s">
        <v>1070</v>
      </c>
      <c r="AK397" s="1458" t="s">
        <v>1122</v>
      </c>
      <c r="AL397" s="71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8" ht="11.25" customHeight="1">
      <c r="A398" s="303" t="s">
        <v>1032</v>
      </c>
      <c r="E398" s="10"/>
      <c r="F398" s="1446"/>
      <c r="G398" s="1447"/>
      <c r="H398" s="1442" t="s">
        <v>157</v>
      </c>
      <c r="I398" s="1454"/>
      <c r="J398" s="1465"/>
      <c r="K398" s="1456"/>
      <c r="L398" s="1169"/>
      <c r="M398" s="1170"/>
      <c r="N398" s="1459"/>
      <c r="O398" s="1460">
        <v>1</v>
      </c>
      <c r="P398" s="1461" t="s">
        <v>19</v>
      </c>
      <c r="Q398" s="1415" t="s">
        <v>22</v>
      </c>
      <c r="R398" s="1415" t="s">
        <v>22</v>
      </c>
      <c r="S398" s="1415" t="s">
        <v>22</v>
      </c>
      <c r="T398" s="1415" t="s">
        <v>22</v>
      </c>
      <c r="U398" s="1415" t="s">
        <v>22</v>
      </c>
      <c r="V398" s="1415" t="s">
        <v>22</v>
      </c>
      <c r="W398" s="1415" t="s">
        <v>22</v>
      </c>
      <c r="X398" s="1415" t="s">
        <v>22</v>
      </c>
      <c r="Y398" s="1415"/>
      <c r="Z398" s="675"/>
      <c r="AA398" s="676"/>
      <c r="AB398" s="676"/>
      <c r="AC398" s="680"/>
      <c r="AD398" s="680"/>
      <c r="AE398" s="681"/>
      <c r="AF398" s="1457"/>
      <c r="AG398" s="1458"/>
      <c r="AH398" s="1458"/>
      <c r="AI398" s="1457"/>
      <c r="AJ398" s="1458"/>
      <c r="AK398" s="1458"/>
      <c r="AL398" s="714"/>
      <c r="AM398" s="34"/>
      <c r="AN398" s="34"/>
      <c r="AO398" s="34"/>
      <c r="AP398" s="34"/>
      <c r="AQ398" s="34"/>
      <c r="AR398" s="34"/>
      <c r="AS398" s="34"/>
      <c r="AT398" s="34"/>
      <c r="AU398" s="34"/>
      <c r="AV398" s="34"/>
      <c r="AW398" s="34"/>
      <c r="AX398" s="34"/>
      <c r="AY398" s="34"/>
      <c r="AZ398" s="34"/>
      <c r="BA398" s="34"/>
      <c r="BB398" s="34"/>
      <c r="BC398" s="34"/>
      <c r="BD398" s="34"/>
      <c r="BE398" s="34"/>
      <c r="BF398" s="34"/>
    </row>
    <row r="399" spans="1:58" ht="32.25" customHeight="1">
      <c r="A399" s="303" t="s">
        <v>1032</v>
      </c>
      <c r="E399" s="10"/>
      <c r="F399" s="1446"/>
      <c r="G399" s="1447"/>
      <c r="H399" s="1442" t="s">
        <v>157</v>
      </c>
      <c r="I399" s="1454"/>
      <c r="J399" s="1465"/>
      <c r="K399" s="1456"/>
      <c r="L399" s="1169"/>
      <c r="M399" s="1170"/>
      <c r="N399" s="1459"/>
      <c r="O399" s="1460"/>
      <c r="P399" s="1462"/>
      <c r="Q399" s="1415"/>
      <c r="R399" s="1415"/>
      <c r="S399" s="1464"/>
      <c r="T399" s="1415"/>
      <c r="U399" s="1415"/>
      <c r="V399" s="1415"/>
      <c r="W399" s="1415"/>
      <c r="X399" s="1415"/>
      <c r="Y399" s="1415"/>
      <c r="Z399" s="987"/>
      <c r="AA399" s="978">
        <v>1</v>
      </c>
      <c r="AB399" s="679" t="s">
        <v>1088</v>
      </c>
      <c r="AC399" s="380">
        <f>48162.16-AC400</f>
        <v>41614.828000000001</v>
      </c>
      <c r="AD399" s="679" t="str">
        <f>AB399</f>
        <v xml:space="preserve">     Амортизационные отчисления за исключением переоценки основных средств и нематериальных активов</v>
      </c>
      <c r="AE399" s="380">
        <v>45136.97</v>
      </c>
      <c r="AF399" s="1457"/>
      <c r="AG399" s="1458"/>
      <c r="AH399" s="1458"/>
      <c r="AI399" s="1457"/>
      <c r="AJ399" s="1458"/>
      <c r="AK399" s="1458"/>
      <c r="AL399" s="714"/>
      <c r="AM399" s="34"/>
      <c r="AN399" s="34"/>
      <c r="AO399" s="34"/>
      <c r="AP399" s="34"/>
      <c r="AQ399" s="34"/>
      <c r="AR399" s="34"/>
      <c r="AS399" s="34"/>
      <c r="AT399" s="34"/>
      <c r="AU399" s="34"/>
      <c r="AV399" s="34"/>
      <c r="AW399" s="34"/>
      <c r="AX399" s="34"/>
      <c r="AY399" s="34"/>
      <c r="AZ399" s="34"/>
      <c r="BA399" s="34"/>
      <c r="BB399" s="34"/>
      <c r="BC399" s="34"/>
      <c r="BD399" s="34"/>
      <c r="BE399" s="34"/>
      <c r="BF399" s="34"/>
    </row>
    <row r="400" spans="1:58" ht="11.25" customHeight="1">
      <c r="A400" s="303" t="s">
        <v>1032</v>
      </c>
      <c r="E400" s="10"/>
      <c r="F400" s="1447"/>
      <c r="G400" s="1447"/>
      <c r="H400" s="1447"/>
      <c r="I400" s="1447"/>
      <c r="J400" s="1447"/>
      <c r="K400" s="1447"/>
      <c r="L400" s="1447"/>
      <c r="M400" s="1447"/>
      <c r="N400" s="1447"/>
      <c r="O400" s="1447"/>
      <c r="P400" s="1447"/>
      <c r="Q400" s="1447"/>
      <c r="R400" s="1447"/>
      <c r="S400" s="1447"/>
      <c r="T400" s="1447"/>
      <c r="U400" s="1447"/>
      <c r="V400" s="1447"/>
      <c r="W400" s="1447"/>
      <c r="X400" s="1447"/>
      <c r="Y400" s="1447"/>
      <c r="Z400" s="87" t="s">
        <v>122</v>
      </c>
      <c r="AA400" s="982" t="s">
        <v>110</v>
      </c>
      <c r="AB400" s="679" t="s">
        <v>1108</v>
      </c>
      <c r="AC400" s="380">
        <f>5456.11*1.2</f>
        <v>6547.3319999999994</v>
      </c>
      <c r="AD400" s="679" t="str">
        <f>AB400</f>
        <v xml:space="preserve">  Прочие</v>
      </c>
      <c r="AE400" s="380">
        <v>1420.22</v>
      </c>
      <c r="AF400" s="1479"/>
      <c r="AG400" s="1477"/>
      <c r="AH400" s="1477"/>
      <c r="AI400" s="1479"/>
      <c r="AJ400" s="1477"/>
      <c r="AK400" s="1478"/>
      <c r="AL400" s="714"/>
      <c r="AM400" s="34"/>
      <c r="AN400" s="34"/>
      <c r="AO400" s="34"/>
      <c r="AP400" s="34"/>
      <c r="AQ400" s="34"/>
      <c r="AR400" s="34"/>
      <c r="AS400" s="34"/>
      <c r="AT400" s="34"/>
      <c r="AU400" s="34"/>
      <c r="AV400" s="34"/>
      <c r="AW400" s="34"/>
      <c r="AX400" s="34"/>
      <c r="AY400" s="34"/>
      <c r="AZ400" s="34"/>
      <c r="BA400" s="34"/>
      <c r="BB400" s="34"/>
      <c r="BC400" s="34"/>
      <c r="BD400" s="34"/>
      <c r="BE400" s="34"/>
      <c r="BF400" s="34"/>
    </row>
    <row r="401" spans="1:59" ht="11.25" customHeight="1">
      <c r="A401" s="303" t="s">
        <v>1032</v>
      </c>
      <c r="E401" s="10"/>
      <c r="F401" s="1446"/>
      <c r="G401" s="1447"/>
      <c r="H401" s="1442" t="s">
        <v>157</v>
      </c>
      <c r="I401" s="1454"/>
      <c r="J401" s="1465"/>
      <c r="K401" s="1456"/>
      <c r="L401" s="1169"/>
      <c r="M401" s="1170"/>
      <c r="N401" s="1459"/>
      <c r="O401" s="1460"/>
      <c r="P401" s="1463"/>
      <c r="Q401" s="1415"/>
      <c r="R401" s="1415"/>
      <c r="S401" s="1464"/>
      <c r="T401" s="1415"/>
      <c r="U401" s="1415"/>
      <c r="V401" s="1415"/>
      <c r="W401" s="1415"/>
      <c r="X401" s="1415"/>
      <c r="Y401" s="1415"/>
      <c r="Z401" s="675"/>
      <c r="AA401" s="676"/>
      <c r="AB401" s="110" t="s">
        <v>1078</v>
      </c>
      <c r="AC401" s="680"/>
      <c r="AD401" s="680"/>
      <c r="AE401" s="682"/>
      <c r="AF401" s="1457"/>
      <c r="AG401" s="1458"/>
      <c r="AH401" s="1458"/>
      <c r="AI401" s="1457"/>
      <c r="AJ401" s="1458"/>
      <c r="AK401" s="1458"/>
      <c r="AL401" s="714"/>
      <c r="AM401" s="34"/>
      <c r="AN401" s="34"/>
      <c r="AO401" s="34"/>
      <c r="AP401" s="34"/>
      <c r="AQ401" s="34"/>
      <c r="AR401" s="34"/>
      <c r="AS401" s="34"/>
      <c r="AT401" s="34"/>
      <c r="AU401" s="34"/>
      <c r="AV401" s="34"/>
      <c r="AW401" s="34"/>
      <c r="AX401" s="34"/>
      <c r="AY401" s="34"/>
      <c r="AZ401" s="34"/>
      <c r="BA401" s="34"/>
      <c r="BB401" s="34"/>
      <c r="BC401" s="34"/>
      <c r="BD401" s="34"/>
      <c r="BE401" s="34"/>
      <c r="BF401" s="34"/>
    </row>
    <row r="402" spans="1:59" ht="11.25" customHeight="1">
      <c r="A402" s="303" t="s">
        <v>1032</v>
      </c>
      <c r="E402" s="10"/>
      <c r="F402" s="1446"/>
      <c r="G402" s="1447"/>
      <c r="H402" s="1442" t="s">
        <v>157</v>
      </c>
      <c r="I402" s="1454"/>
      <c r="J402" s="1465"/>
      <c r="K402" s="1456"/>
      <c r="L402" s="1169"/>
      <c r="M402" s="1170"/>
      <c r="N402" s="675"/>
      <c r="O402" s="676"/>
      <c r="P402" s="110" t="s">
        <v>1079</v>
      </c>
      <c r="Q402" s="676"/>
      <c r="R402" s="676"/>
      <c r="S402" s="676"/>
      <c r="T402" s="676"/>
      <c r="U402" s="676"/>
      <c r="V402" s="676"/>
      <c r="W402" s="676"/>
      <c r="X402" s="676"/>
      <c r="Y402" s="676"/>
      <c r="Z402" s="676"/>
      <c r="AA402" s="676"/>
      <c r="AB402" s="676"/>
      <c r="AC402" s="676"/>
      <c r="AD402" s="676"/>
      <c r="AE402" s="683"/>
      <c r="AF402" s="1457"/>
      <c r="AG402" s="1458"/>
      <c r="AH402" s="1458"/>
      <c r="AI402" s="1457"/>
      <c r="AJ402" s="1458"/>
      <c r="AK402" s="1458"/>
      <c r="AL402" s="714"/>
      <c r="AM402" s="34"/>
      <c r="AN402" s="34"/>
      <c r="AO402" s="34"/>
      <c r="AP402" s="34"/>
      <c r="AQ402" s="34"/>
      <c r="AR402" s="34"/>
      <c r="AS402" s="34"/>
      <c r="AT402" s="34"/>
      <c r="AU402" s="34"/>
      <c r="AV402" s="34"/>
      <c r="AW402" s="34"/>
      <c r="AX402" s="34"/>
      <c r="AY402" s="34"/>
      <c r="AZ402" s="34"/>
      <c r="BA402" s="34"/>
      <c r="BB402" s="34"/>
      <c r="BC402" s="34"/>
      <c r="BD402" s="34"/>
      <c r="BE402" s="34"/>
      <c r="BF402" s="34"/>
    </row>
    <row r="403" spans="1:59" ht="12" customHeight="1">
      <c r="A403" s="303" t="s">
        <v>1032</v>
      </c>
      <c r="E403" s="10"/>
      <c r="F403" s="1448"/>
      <c r="G403" s="688"/>
      <c r="H403" s="688"/>
      <c r="I403" s="1444" t="s">
        <v>1166</v>
      </c>
      <c r="J403" s="1444"/>
      <c r="K403" s="1444"/>
      <c r="L403" s="673"/>
      <c r="M403" s="673"/>
      <c r="N403" s="674"/>
      <c r="O403" s="674"/>
      <c r="P403" s="674"/>
      <c r="Q403" s="674"/>
      <c r="R403" s="674"/>
      <c r="S403" s="674"/>
      <c r="T403" s="674"/>
      <c r="U403" s="674"/>
      <c r="V403" s="674"/>
      <c r="W403" s="674"/>
      <c r="X403" s="674"/>
      <c r="Y403" s="674"/>
      <c r="Z403" s="674"/>
      <c r="AA403" s="674"/>
      <c r="AB403" s="674"/>
      <c r="AC403" s="674"/>
      <c r="AD403" s="674"/>
      <c r="AE403" s="674"/>
      <c r="AF403" s="674"/>
      <c r="AG403" s="673"/>
      <c r="AH403" s="673"/>
      <c r="AI403" s="674"/>
      <c r="AJ403" s="673"/>
      <c r="AK403" s="674"/>
      <c r="AL403" s="714"/>
      <c r="AM403" s="34"/>
      <c r="AN403" s="34"/>
      <c r="AO403" s="34"/>
      <c r="AP403" s="34"/>
      <c r="AQ403" s="34"/>
      <c r="AR403" s="34"/>
      <c r="AS403" s="34"/>
      <c r="AT403" s="34"/>
      <c r="AU403" s="34"/>
      <c r="AV403" s="34"/>
      <c r="AW403" s="34"/>
      <c r="AX403" s="34"/>
      <c r="AY403" s="34"/>
      <c r="AZ403" s="34"/>
      <c r="BA403" s="34"/>
      <c r="BB403" s="34"/>
      <c r="BC403" s="34"/>
      <c r="BD403" s="34"/>
      <c r="BE403" s="34"/>
      <c r="BF403" s="34"/>
    </row>
    <row r="404" spans="1:59" ht="10.5" customHeight="1">
      <c r="E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c r="BG404" s="11">
        <v>10</v>
      </c>
    </row>
    <row r="405" spans="1:59" ht="13.5" customHeight="1">
      <c r="E405" s="34"/>
      <c r="F405" s="17" t="s">
        <v>1184</v>
      </c>
      <c r="G405" s="17"/>
      <c r="H405" s="17"/>
      <c r="I405" s="17"/>
      <c r="J405" s="17"/>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c r="BG405" s="11">
        <v>13</v>
      </c>
    </row>
    <row r="406" spans="1:59" ht="10.5" customHeight="1">
      <c r="BG406" s="11">
        <v>10</v>
      </c>
    </row>
    <row r="407" spans="1:59" ht="10.5" customHeight="1">
      <c r="E407" s="34"/>
      <c r="F407" s="1433"/>
      <c r="G407" s="1433"/>
      <c r="H407" s="1433"/>
      <c r="I407" s="1433"/>
      <c r="J407" s="1433"/>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G407" s="11">
        <v>10</v>
      </c>
    </row>
    <row r="408" spans="1:59" ht="10.5" customHeight="1">
      <c r="E408" s="34"/>
      <c r="F408" s="1433"/>
      <c r="G408" s="1433"/>
      <c r="H408" s="1433"/>
      <c r="I408" s="1433"/>
      <c r="J408" s="1433"/>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G408" s="11">
        <v>10</v>
      </c>
    </row>
    <row r="409" spans="1:59" ht="10.5" customHeight="1">
      <c r="E409" s="34"/>
      <c r="F409" s="1433"/>
      <c r="G409" s="1433"/>
      <c r="H409" s="1433"/>
      <c r="I409" s="1433"/>
      <c r="J409" s="1433"/>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G409" s="11">
        <v>10</v>
      </c>
    </row>
    <row r="410" spans="1:59" ht="10.5" hidden="1" customHeight="1">
      <c r="A410" s="303" t="s">
        <v>82</v>
      </c>
      <c r="B410" s="303">
        <v>0</v>
      </c>
      <c r="C410" s="303">
        <v>0</v>
      </c>
      <c r="D410" s="63">
        <v>0</v>
      </c>
      <c r="E410" s="11">
        <v>3</v>
      </c>
      <c r="F410" s="11">
        <v>14</v>
      </c>
      <c r="G410" s="11">
        <v>3</v>
      </c>
      <c r="H410" s="11">
        <v>7</v>
      </c>
      <c r="I410" s="11">
        <v>16</v>
      </c>
      <c r="J410" s="11">
        <v>16</v>
      </c>
      <c r="K410" s="11">
        <v>25</v>
      </c>
      <c r="L410" s="11">
        <v>7</v>
      </c>
      <c r="M410" s="11">
        <v>15</v>
      </c>
      <c r="N410" s="11">
        <v>3</v>
      </c>
      <c r="O410" s="11">
        <v>4</v>
      </c>
      <c r="P410" s="11">
        <v>8</v>
      </c>
      <c r="Q410" s="11">
        <v>21</v>
      </c>
      <c r="R410" s="11">
        <v>14</v>
      </c>
      <c r="S410" s="11">
        <v>17</v>
      </c>
      <c r="T410" s="11">
        <v>17</v>
      </c>
      <c r="U410" s="11">
        <v>9</v>
      </c>
      <c r="V410" s="11">
        <v>12</v>
      </c>
      <c r="W410" s="11">
        <v>9</v>
      </c>
      <c r="X410" s="11">
        <v>21</v>
      </c>
      <c r="Y410" s="11">
        <v>12</v>
      </c>
      <c r="Z410" s="11">
        <v>3</v>
      </c>
      <c r="AA410" s="11">
        <v>6</v>
      </c>
      <c r="AB410" s="11">
        <v>38</v>
      </c>
      <c r="AC410" s="11">
        <v>15</v>
      </c>
      <c r="AD410" s="11">
        <v>0</v>
      </c>
      <c r="AE410" s="11">
        <v>0</v>
      </c>
      <c r="AF410" s="11">
        <v>16</v>
      </c>
      <c r="AG410" s="11">
        <v>16</v>
      </c>
      <c r="AH410" s="11">
        <v>16</v>
      </c>
      <c r="AI410" s="11">
        <v>0</v>
      </c>
      <c r="AJ410" s="11">
        <v>0</v>
      </c>
      <c r="AK410" s="11">
        <v>0</v>
      </c>
      <c r="AL410" s="11">
        <v>8</v>
      </c>
      <c r="AM410" s="11">
        <v>8</v>
      </c>
      <c r="AN410" s="11">
        <v>8</v>
      </c>
      <c r="AO410" s="11">
        <v>8</v>
      </c>
      <c r="AP410" s="11">
        <v>8</v>
      </c>
      <c r="AQ410" s="11">
        <v>8</v>
      </c>
      <c r="AR410" s="11">
        <v>8</v>
      </c>
      <c r="AS410" s="11">
        <v>8</v>
      </c>
      <c r="AT410" s="11">
        <v>8</v>
      </c>
      <c r="AU410" s="11">
        <v>8</v>
      </c>
      <c r="AV410" s="11">
        <v>8</v>
      </c>
      <c r="AW410" s="11">
        <v>8</v>
      </c>
      <c r="AX410" s="11">
        <v>8</v>
      </c>
      <c r="AY410" s="11">
        <v>8</v>
      </c>
      <c r="AZ410" s="11">
        <v>8</v>
      </c>
      <c r="BA410" s="11">
        <v>8</v>
      </c>
      <c r="BB410" s="11">
        <v>8</v>
      </c>
      <c r="BC410" s="11">
        <v>8</v>
      </c>
      <c r="BD410" s="11">
        <v>8</v>
      </c>
      <c r="BE410" s="11">
        <v>8</v>
      </c>
      <c r="BF410" s="11">
        <v>8</v>
      </c>
      <c r="BG410" s="11">
        <v>10</v>
      </c>
    </row>
  </sheetData>
  <sheetProtection formatColumns="0" formatRows="0" insertRows="0" deleteColumns="0" deleteRows="0" sort="0" autoFilter="0"/>
  <mergeCells count="1827">
    <mergeCell ref="G397:G402"/>
    <mergeCell ref="N340:N343"/>
    <mergeCell ref="O340:O343"/>
    <mergeCell ref="P340:P343"/>
    <mergeCell ref="Q340:Q343"/>
    <mergeCell ref="R340:R343"/>
    <mergeCell ref="S340:S343"/>
    <mergeCell ref="T340:T343"/>
    <mergeCell ref="U340:U343"/>
    <mergeCell ref="V340:V343"/>
    <mergeCell ref="W340:W343"/>
    <mergeCell ref="X340:X343"/>
    <mergeCell ref="Y340:Y343"/>
    <mergeCell ref="N367:N369"/>
    <mergeCell ref="O367:O369"/>
    <mergeCell ref="P367:P369"/>
    <mergeCell ref="Q367:Q369"/>
    <mergeCell ref="R367:R369"/>
    <mergeCell ref="S367:S369"/>
    <mergeCell ref="T367:T369"/>
    <mergeCell ref="U367:U369"/>
    <mergeCell ref="V367:V369"/>
    <mergeCell ref="W367:W369"/>
    <mergeCell ref="X367:X369"/>
    <mergeCell ref="Y367:Y369"/>
    <mergeCell ref="N370:N372"/>
    <mergeCell ref="O370:O372"/>
    <mergeCell ref="P370:P372"/>
    <mergeCell ref="Q370:Q372"/>
    <mergeCell ref="R370:R372"/>
    <mergeCell ref="S370:S372"/>
    <mergeCell ref="T370:T372"/>
    <mergeCell ref="H397:H402"/>
    <mergeCell ref="I397:I402"/>
    <mergeCell ref="J397:J402"/>
    <mergeCell ref="K397:K402"/>
    <mergeCell ref="L397:L402"/>
    <mergeCell ref="M397:M402"/>
    <mergeCell ref="AF397:AF402"/>
    <mergeCell ref="AG397:AG402"/>
    <mergeCell ref="AH397:AH402"/>
    <mergeCell ref="AI397:AI402"/>
    <mergeCell ref="AJ397:AJ402"/>
    <mergeCell ref="AK397:AK402"/>
    <mergeCell ref="N398:N401"/>
    <mergeCell ref="O398:O401"/>
    <mergeCell ref="P398:P401"/>
    <mergeCell ref="Q398:Q401"/>
    <mergeCell ref="R398:R401"/>
    <mergeCell ref="S398:S401"/>
    <mergeCell ref="T398:T401"/>
    <mergeCell ref="U398:U401"/>
    <mergeCell ref="V398:V401"/>
    <mergeCell ref="W398:W401"/>
    <mergeCell ref="X398:X401"/>
    <mergeCell ref="Y398:Y401"/>
    <mergeCell ref="G385:G390"/>
    <mergeCell ref="H391:H396"/>
    <mergeCell ref="I391:I396"/>
    <mergeCell ref="J391:J396"/>
    <mergeCell ref="K391:K396"/>
    <mergeCell ref="L391:L396"/>
    <mergeCell ref="M391:M396"/>
    <mergeCell ref="AF391:AF396"/>
    <mergeCell ref="AG391:AG396"/>
    <mergeCell ref="AH391:AH396"/>
    <mergeCell ref="AI391:AI396"/>
    <mergeCell ref="AJ391:AJ396"/>
    <mergeCell ref="AK391:AK396"/>
    <mergeCell ref="N392:N395"/>
    <mergeCell ref="O392:O395"/>
    <mergeCell ref="P392:P395"/>
    <mergeCell ref="Q392:Q395"/>
    <mergeCell ref="R392:R395"/>
    <mergeCell ref="S392:S395"/>
    <mergeCell ref="T392:T395"/>
    <mergeCell ref="U392:U395"/>
    <mergeCell ref="V392:V395"/>
    <mergeCell ref="W392:W395"/>
    <mergeCell ref="X392:X395"/>
    <mergeCell ref="Y392:Y395"/>
    <mergeCell ref="G391:G396"/>
    <mergeCell ref="H385:H390"/>
    <mergeCell ref="I385:I390"/>
    <mergeCell ref="J385:J390"/>
    <mergeCell ref="K385:K390"/>
    <mergeCell ref="L385:L390"/>
    <mergeCell ref="M385:M390"/>
    <mergeCell ref="AF385:AF390"/>
    <mergeCell ref="AG385:AG390"/>
    <mergeCell ref="AH385:AH390"/>
    <mergeCell ref="AI385:AI390"/>
    <mergeCell ref="AJ385:AJ390"/>
    <mergeCell ref="AK385:AK390"/>
    <mergeCell ref="N386:N389"/>
    <mergeCell ref="O386:O389"/>
    <mergeCell ref="P386:P389"/>
    <mergeCell ref="Q386:Q389"/>
    <mergeCell ref="R386:R389"/>
    <mergeCell ref="S386:S389"/>
    <mergeCell ref="T386:T389"/>
    <mergeCell ref="U386:U389"/>
    <mergeCell ref="V386:V389"/>
    <mergeCell ref="W386:W389"/>
    <mergeCell ref="X386:X389"/>
    <mergeCell ref="Y386:Y389"/>
    <mergeCell ref="G374:G378"/>
    <mergeCell ref="H379:H384"/>
    <mergeCell ref="I379:I384"/>
    <mergeCell ref="J379:J384"/>
    <mergeCell ref="K379:K384"/>
    <mergeCell ref="L379:L384"/>
    <mergeCell ref="M379:M384"/>
    <mergeCell ref="AF379:AF384"/>
    <mergeCell ref="AG379:AG384"/>
    <mergeCell ref="AH379:AH384"/>
    <mergeCell ref="AI379:AI384"/>
    <mergeCell ref="AJ379:AJ384"/>
    <mergeCell ref="AK379:AK384"/>
    <mergeCell ref="N380:N383"/>
    <mergeCell ref="O380:O383"/>
    <mergeCell ref="P380:P383"/>
    <mergeCell ref="Q380:Q383"/>
    <mergeCell ref="R380:R383"/>
    <mergeCell ref="S380:S383"/>
    <mergeCell ref="T380:T383"/>
    <mergeCell ref="U380:U383"/>
    <mergeCell ref="V380:V383"/>
    <mergeCell ref="W380:W383"/>
    <mergeCell ref="X380:X383"/>
    <mergeCell ref="Y380:Y383"/>
    <mergeCell ref="G379:G384"/>
    <mergeCell ref="H374:H378"/>
    <mergeCell ref="I374:I378"/>
    <mergeCell ref="J374:J378"/>
    <mergeCell ref="K374:K378"/>
    <mergeCell ref="L374:L378"/>
    <mergeCell ref="M374:M378"/>
    <mergeCell ref="AF374:AF378"/>
    <mergeCell ref="AG374:AG378"/>
    <mergeCell ref="AH374:AH378"/>
    <mergeCell ref="AI374:AI378"/>
    <mergeCell ref="AJ374:AJ378"/>
    <mergeCell ref="AK374:AK378"/>
    <mergeCell ref="N375:N377"/>
    <mergeCell ref="O375:O377"/>
    <mergeCell ref="P375:P377"/>
    <mergeCell ref="Q375:Q377"/>
    <mergeCell ref="R375:R377"/>
    <mergeCell ref="S375:S377"/>
    <mergeCell ref="T375:T377"/>
    <mergeCell ref="U375:U377"/>
    <mergeCell ref="V375:V377"/>
    <mergeCell ref="W375:W377"/>
    <mergeCell ref="X375:X377"/>
    <mergeCell ref="Y375:Y377"/>
    <mergeCell ref="G356:G361"/>
    <mergeCell ref="H362:H373"/>
    <mergeCell ref="I362:I373"/>
    <mergeCell ref="J362:J373"/>
    <mergeCell ref="K362:K373"/>
    <mergeCell ref="L362:L373"/>
    <mergeCell ref="M362:M373"/>
    <mergeCell ref="AF362:AF373"/>
    <mergeCell ref="AG362:AG373"/>
    <mergeCell ref="AH362:AH373"/>
    <mergeCell ref="AI362:AI373"/>
    <mergeCell ref="AJ362:AJ373"/>
    <mergeCell ref="AK362:AK373"/>
    <mergeCell ref="N363:N366"/>
    <mergeCell ref="O363:O366"/>
    <mergeCell ref="P363:P366"/>
    <mergeCell ref="Q363:Q366"/>
    <mergeCell ref="R363:R366"/>
    <mergeCell ref="S363:S366"/>
    <mergeCell ref="T363:T366"/>
    <mergeCell ref="U363:U366"/>
    <mergeCell ref="V363:V366"/>
    <mergeCell ref="W363:W366"/>
    <mergeCell ref="X363:X366"/>
    <mergeCell ref="Y363:Y366"/>
    <mergeCell ref="G362:G373"/>
    <mergeCell ref="U370:U372"/>
    <mergeCell ref="V370:V372"/>
    <mergeCell ref="W370:W372"/>
    <mergeCell ref="X370:X372"/>
    <mergeCell ref="Y370:Y372"/>
    <mergeCell ref="H356:H361"/>
    <mergeCell ref="I356:I361"/>
    <mergeCell ref="J356:J361"/>
    <mergeCell ref="K356:K361"/>
    <mergeCell ref="L356:L361"/>
    <mergeCell ref="M356:M361"/>
    <mergeCell ref="AF356:AF361"/>
    <mergeCell ref="AG356:AG361"/>
    <mergeCell ref="AH356:AH361"/>
    <mergeCell ref="AI356:AI361"/>
    <mergeCell ref="AJ356:AJ361"/>
    <mergeCell ref="AK356:AK361"/>
    <mergeCell ref="N357:N360"/>
    <mergeCell ref="O357:O360"/>
    <mergeCell ref="P357:P360"/>
    <mergeCell ref="Q357:Q360"/>
    <mergeCell ref="R357:R360"/>
    <mergeCell ref="S357:S360"/>
    <mergeCell ref="T357:T360"/>
    <mergeCell ref="U357:U360"/>
    <mergeCell ref="V357:V360"/>
    <mergeCell ref="W357:W360"/>
    <mergeCell ref="X357:X360"/>
    <mergeCell ref="Y357:Y360"/>
    <mergeCell ref="G345:G350"/>
    <mergeCell ref="H351:H355"/>
    <mergeCell ref="I351:I355"/>
    <mergeCell ref="J351:J355"/>
    <mergeCell ref="K351:K355"/>
    <mergeCell ref="L351:L355"/>
    <mergeCell ref="M351:M355"/>
    <mergeCell ref="AF351:AF355"/>
    <mergeCell ref="AG351:AG355"/>
    <mergeCell ref="AH351:AH355"/>
    <mergeCell ref="AI351:AI355"/>
    <mergeCell ref="AJ351:AJ355"/>
    <mergeCell ref="AK351:AK355"/>
    <mergeCell ref="N352:N354"/>
    <mergeCell ref="O352:O354"/>
    <mergeCell ref="P352:P354"/>
    <mergeCell ref="Q352:Q354"/>
    <mergeCell ref="R352:R354"/>
    <mergeCell ref="S352:S354"/>
    <mergeCell ref="T352:T354"/>
    <mergeCell ref="U352:U354"/>
    <mergeCell ref="V352:V354"/>
    <mergeCell ref="W352:W354"/>
    <mergeCell ref="X352:X354"/>
    <mergeCell ref="Y352:Y354"/>
    <mergeCell ref="G351:G355"/>
    <mergeCell ref="H345:H350"/>
    <mergeCell ref="I345:I350"/>
    <mergeCell ref="J345:J350"/>
    <mergeCell ref="K345:K350"/>
    <mergeCell ref="L345:L350"/>
    <mergeCell ref="M345:M350"/>
    <mergeCell ref="AF345:AF350"/>
    <mergeCell ref="AG345:AG350"/>
    <mergeCell ref="AH345:AH350"/>
    <mergeCell ref="AI345:AI350"/>
    <mergeCell ref="AJ345:AJ350"/>
    <mergeCell ref="AK345:AK350"/>
    <mergeCell ref="N346:N349"/>
    <mergeCell ref="O346:O349"/>
    <mergeCell ref="P346:P349"/>
    <mergeCell ref="Q346:Q349"/>
    <mergeCell ref="R346:R349"/>
    <mergeCell ref="S346:S349"/>
    <mergeCell ref="T346:T349"/>
    <mergeCell ref="U346:U349"/>
    <mergeCell ref="V346:V349"/>
    <mergeCell ref="W346:W349"/>
    <mergeCell ref="X346:X349"/>
    <mergeCell ref="Y346:Y349"/>
    <mergeCell ref="G330:G334"/>
    <mergeCell ref="H335:H344"/>
    <mergeCell ref="I335:I344"/>
    <mergeCell ref="J335:J344"/>
    <mergeCell ref="K335:K344"/>
    <mergeCell ref="L335:L344"/>
    <mergeCell ref="M335:M344"/>
    <mergeCell ref="AF335:AF344"/>
    <mergeCell ref="AG335:AG344"/>
    <mergeCell ref="AH335:AH344"/>
    <mergeCell ref="AI335:AI344"/>
    <mergeCell ref="AJ335:AJ344"/>
    <mergeCell ref="AK335:AK344"/>
    <mergeCell ref="N336:N339"/>
    <mergeCell ref="O336:O339"/>
    <mergeCell ref="P336:P339"/>
    <mergeCell ref="Q336:Q339"/>
    <mergeCell ref="R336:R339"/>
    <mergeCell ref="S336:S339"/>
    <mergeCell ref="T336:T339"/>
    <mergeCell ref="U336:U339"/>
    <mergeCell ref="V336:V339"/>
    <mergeCell ref="W336:W339"/>
    <mergeCell ref="X336:X339"/>
    <mergeCell ref="Y336:Y339"/>
    <mergeCell ref="G335:G344"/>
    <mergeCell ref="M330:M334"/>
    <mergeCell ref="AF330:AF334"/>
    <mergeCell ref="AG330:AG334"/>
    <mergeCell ref="AH330:AH334"/>
    <mergeCell ref="AI330:AI334"/>
    <mergeCell ref="AJ330:AJ334"/>
    <mergeCell ref="AK330:AK334"/>
    <mergeCell ref="N331:N333"/>
    <mergeCell ref="O331:O333"/>
    <mergeCell ref="P331:P333"/>
    <mergeCell ref="Q331:Q333"/>
    <mergeCell ref="R331:R333"/>
    <mergeCell ref="S331:S333"/>
    <mergeCell ref="T331:T333"/>
    <mergeCell ref="U331:U333"/>
    <mergeCell ref="V331:V333"/>
    <mergeCell ref="W331:W333"/>
    <mergeCell ref="X331:X333"/>
    <mergeCell ref="Y331:Y333"/>
    <mergeCell ref="G319:G323"/>
    <mergeCell ref="N315:N317"/>
    <mergeCell ref="O315:O317"/>
    <mergeCell ref="P315:P317"/>
    <mergeCell ref="Q315:Q317"/>
    <mergeCell ref="R315:R317"/>
    <mergeCell ref="S315:S317"/>
    <mergeCell ref="T315:T317"/>
    <mergeCell ref="U315:U317"/>
    <mergeCell ref="V315:V317"/>
    <mergeCell ref="W315:W317"/>
    <mergeCell ref="X315:X317"/>
    <mergeCell ref="Y315:Y317"/>
    <mergeCell ref="N299:N301"/>
    <mergeCell ref="O299:O301"/>
    <mergeCell ref="P299:P301"/>
    <mergeCell ref="Q299:Q301"/>
    <mergeCell ref="R299:R301"/>
    <mergeCell ref="S299:S301"/>
    <mergeCell ref="T299:T301"/>
    <mergeCell ref="U299:U301"/>
    <mergeCell ref="V299:V301"/>
    <mergeCell ref="W299:W301"/>
    <mergeCell ref="X299:X301"/>
    <mergeCell ref="Y299:Y301"/>
    <mergeCell ref="N302:N304"/>
    <mergeCell ref="O302:O304"/>
    <mergeCell ref="P302:P304"/>
    <mergeCell ref="Q302:Q304"/>
    <mergeCell ref="R302:R304"/>
    <mergeCell ref="S302:S304"/>
    <mergeCell ref="T302:T304"/>
    <mergeCell ref="H319:H323"/>
    <mergeCell ref="I319:I323"/>
    <mergeCell ref="J319:J323"/>
    <mergeCell ref="K319:K323"/>
    <mergeCell ref="L319:L323"/>
    <mergeCell ref="M319:M323"/>
    <mergeCell ref="AF319:AF323"/>
    <mergeCell ref="AG319:AG323"/>
    <mergeCell ref="AH319:AH323"/>
    <mergeCell ref="AI319:AI323"/>
    <mergeCell ref="AJ319:AJ323"/>
    <mergeCell ref="AK319:AK323"/>
    <mergeCell ref="N320:N322"/>
    <mergeCell ref="O320:O322"/>
    <mergeCell ref="P320:P322"/>
    <mergeCell ref="Q320:Q322"/>
    <mergeCell ref="R320:R322"/>
    <mergeCell ref="S320:S322"/>
    <mergeCell ref="T320:T322"/>
    <mergeCell ref="U320:U322"/>
    <mergeCell ref="V320:V322"/>
    <mergeCell ref="W320:W322"/>
    <mergeCell ref="X320:X322"/>
    <mergeCell ref="Y320:Y322"/>
    <mergeCell ref="G306:G310"/>
    <mergeCell ref="H311:H318"/>
    <mergeCell ref="I311:I318"/>
    <mergeCell ref="J311:J318"/>
    <mergeCell ref="K311:K318"/>
    <mergeCell ref="L311:L318"/>
    <mergeCell ref="M311:M318"/>
    <mergeCell ref="AF311:AF318"/>
    <mergeCell ref="AG311:AG318"/>
    <mergeCell ref="AH311:AH318"/>
    <mergeCell ref="AI311:AI318"/>
    <mergeCell ref="AJ311:AJ318"/>
    <mergeCell ref="AK311:AK318"/>
    <mergeCell ref="N312:N314"/>
    <mergeCell ref="O312:O314"/>
    <mergeCell ref="P312:P314"/>
    <mergeCell ref="Q312:Q314"/>
    <mergeCell ref="R312:R314"/>
    <mergeCell ref="S312:S314"/>
    <mergeCell ref="T312:T314"/>
    <mergeCell ref="U312:U314"/>
    <mergeCell ref="V312:V314"/>
    <mergeCell ref="W312:W314"/>
    <mergeCell ref="X312:X314"/>
    <mergeCell ref="Y312:Y314"/>
    <mergeCell ref="G311:G318"/>
    <mergeCell ref="H306:H310"/>
    <mergeCell ref="I306:I310"/>
    <mergeCell ref="J306:J310"/>
    <mergeCell ref="K306:K310"/>
    <mergeCell ref="L306:L310"/>
    <mergeCell ref="M306:M310"/>
    <mergeCell ref="AF306:AF310"/>
    <mergeCell ref="AG306:AG310"/>
    <mergeCell ref="AH306:AH310"/>
    <mergeCell ref="AI306:AI310"/>
    <mergeCell ref="AJ306:AJ310"/>
    <mergeCell ref="AK306:AK310"/>
    <mergeCell ref="N307:N309"/>
    <mergeCell ref="O307:O309"/>
    <mergeCell ref="P307:P309"/>
    <mergeCell ref="Q307:Q309"/>
    <mergeCell ref="R307:R309"/>
    <mergeCell ref="S307:S309"/>
    <mergeCell ref="T307:T309"/>
    <mergeCell ref="U307:U309"/>
    <mergeCell ref="V307:V309"/>
    <mergeCell ref="W307:W309"/>
    <mergeCell ref="X307:X309"/>
    <mergeCell ref="Y307:Y309"/>
    <mergeCell ref="G290:G294"/>
    <mergeCell ref="H295:H305"/>
    <mergeCell ref="I295:I305"/>
    <mergeCell ref="J295:J305"/>
    <mergeCell ref="K295:K305"/>
    <mergeCell ref="L295:L305"/>
    <mergeCell ref="M295:M305"/>
    <mergeCell ref="AF295:AF305"/>
    <mergeCell ref="AG295:AG305"/>
    <mergeCell ref="AH295:AH305"/>
    <mergeCell ref="AI295:AI305"/>
    <mergeCell ref="AJ295:AJ305"/>
    <mergeCell ref="AK295:AK305"/>
    <mergeCell ref="N296:N298"/>
    <mergeCell ref="O296:O298"/>
    <mergeCell ref="P296:P298"/>
    <mergeCell ref="Q296:Q298"/>
    <mergeCell ref="R296:R298"/>
    <mergeCell ref="S296:S298"/>
    <mergeCell ref="T296:T298"/>
    <mergeCell ref="U296:U298"/>
    <mergeCell ref="V296:V298"/>
    <mergeCell ref="W296:W298"/>
    <mergeCell ref="X296:X298"/>
    <mergeCell ref="Y296:Y298"/>
    <mergeCell ref="G295:G305"/>
    <mergeCell ref="U302:U304"/>
    <mergeCell ref="V302:V304"/>
    <mergeCell ref="W302:W304"/>
    <mergeCell ref="X302:X304"/>
    <mergeCell ref="Y302:Y304"/>
    <mergeCell ref="H290:H29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80:G284"/>
    <mergeCell ref="H285:H289"/>
    <mergeCell ref="I285:I289"/>
    <mergeCell ref="J285:J289"/>
    <mergeCell ref="K285:K289"/>
    <mergeCell ref="L285:L289"/>
    <mergeCell ref="M285:M28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85:G289"/>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70:G27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270:H274"/>
    <mergeCell ref="I270:I274"/>
    <mergeCell ref="J270:J274"/>
    <mergeCell ref="K270:K274"/>
    <mergeCell ref="L270:L274"/>
    <mergeCell ref="M270:M274"/>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AH262:AH269"/>
    <mergeCell ref="AI262:AI269"/>
    <mergeCell ref="AJ262:AJ269"/>
    <mergeCell ref="AK262:AK269"/>
    <mergeCell ref="N263:N265"/>
    <mergeCell ref="O263:O265"/>
    <mergeCell ref="P263:P265"/>
    <mergeCell ref="Q263:Q265"/>
    <mergeCell ref="R263:R265"/>
    <mergeCell ref="S263:S265"/>
    <mergeCell ref="T263:T265"/>
    <mergeCell ref="U263:U265"/>
    <mergeCell ref="V263:V265"/>
    <mergeCell ref="W263:W265"/>
    <mergeCell ref="X263:X265"/>
    <mergeCell ref="Y263:Y265"/>
    <mergeCell ref="G262:G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R258:R260"/>
    <mergeCell ref="S258:S260"/>
    <mergeCell ref="T258:T260"/>
    <mergeCell ref="U258:U260"/>
    <mergeCell ref="V258:V260"/>
    <mergeCell ref="W258:W260"/>
    <mergeCell ref="X258:X260"/>
    <mergeCell ref="Y258:Y260"/>
    <mergeCell ref="G257:G261"/>
    <mergeCell ref="H262:H269"/>
    <mergeCell ref="I262:I269"/>
    <mergeCell ref="J262:J269"/>
    <mergeCell ref="K262:K269"/>
    <mergeCell ref="L262:L269"/>
    <mergeCell ref="M262:M269"/>
    <mergeCell ref="AF262:AF269"/>
    <mergeCell ref="AG262:AG269"/>
    <mergeCell ref="AI252:AI256"/>
    <mergeCell ref="AJ252:AJ256"/>
    <mergeCell ref="AK252:AK256"/>
    <mergeCell ref="N253:N255"/>
    <mergeCell ref="O253:O255"/>
    <mergeCell ref="P253:P255"/>
    <mergeCell ref="Q253:Q255"/>
    <mergeCell ref="R253:R255"/>
    <mergeCell ref="S253:S255"/>
    <mergeCell ref="T253:T255"/>
    <mergeCell ref="U253:U255"/>
    <mergeCell ref="V253:V255"/>
    <mergeCell ref="W253:W255"/>
    <mergeCell ref="X253:X255"/>
    <mergeCell ref="Y253:Y255"/>
    <mergeCell ref="G252:G256"/>
    <mergeCell ref="H257:H261"/>
    <mergeCell ref="I257:I261"/>
    <mergeCell ref="J257:J261"/>
    <mergeCell ref="K257:K261"/>
    <mergeCell ref="L257:L261"/>
    <mergeCell ref="M257:M261"/>
    <mergeCell ref="AF257:AF261"/>
    <mergeCell ref="AG257:AG261"/>
    <mergeCell ref="AH257:AH261"/>
    <mergeCell ref="AI257:AI261"/>
    <mergeCell ref="AJ257:AJ261"/>
    <mergeCell ref="AK257:AK261"/>
    <mergeCell ref="N258:N260"/>
    <mergeCell ref="O258:O260"/>
    <mergeCell ref="P258:P260"/>
    <mergeCell ref="Q258:Q260"/>
    <mergeCell ref="S245:S247"/>
    <mergeCell ref="T245:T247"/>
    <mergeCell ref="U245:U247"/>
    <mergeCell ref="V245:V247"/>
    <mergeCell ref="W245:W247"/>
    <mergeCell ref="X245:X247"/>
    <mergeCell ref="Y245:Y247"/>
    <mergeCell ref="G244:G251"/>
    <mergeCell ref="H252:H256"/>
    <mergeCell ref="I252:I256"/>
    <mergeCell ref="J252:J256"/>
    <mergeCell ref="K252:K256"/>
    <mergeCell ref="L252:L256"/>
    <mergeCell ref="M252:M256"/>
    <mergeCell ref="AF252:AF256"/>
    <mergeCell ref="AG252:AG256"/>
    <mergeCell ref="AH252:AH256"/>
    <mergeCell ref="N248:N250"/>
    <mergeCell ref="O248:O250"/>
    <mergeCell ref="P248:P250"/>
    <mergeCell ref="Q248:Q250"/>
    <mergeCell ref="R248:R250"/>
    <mergeCell ref="S248:S250"/>
    <mergeCell ref="T248:T250"/>
    <mergeCell ref="U248:U250"/>
    <mergeCell ref="V248:V250"/>
    <mergeCell ref="W248:W250"/>
    <mergeCell ref="X248:X250"/>
    <mergeCell ref="Y248:Y250"/>
    <mergeCell ref="AJ239:AJ243"/>
    <mergeCell ref="AK239:AK243"/>
    <mergeCell ref="N240:N242"/>
    <mergeCell ref="O240:O242"/>
    <mergeCell ref="P240:P242"/>
    <mergeCell ref="Q240:Q242"/>
    <mergeCell ref="R240:R242"/>
    <mergeCell ref="S240:S242"/>
    <mergeCell ref="T240:T242"/>
    <mergeCell ref="U240:U242"/>
    <mergeCell ref="V240:V242"/>
    <mergeCell ref="W240:W242"/>
    <mergeCell ref="X240:X242"/>
    <mergeCell ref="Y240:Y242"/>
    <mergeCell ref="G239:G243"/>
    <mergeCell ref="H244:H251"/>
    <mergeCell ref="I244:I251"/>
    <mergeCell ref="J244:J251"/>
    <mergeCell ref="K244:K251"/>
    <mergeCell ref="L244:L251"/>
    <mergeCell ref="M244:M251"/>
    <mergeCell ref="AF244:AF251"/>
    <mergeCell ref="AG244:AG251"/>
    <mergeCell ref="AH244:AH251"/>
    <mergeCell ref="AI244:AI251"/>
    <mergeCell ref="AJ244:AJ251"/>
    <mergeCell ref="AK244:AK251"/>
    <mergeCell ref="N245:N247"/>
    <mergeCell ref="O245:O247"/>
    <mergeCell ref="P245:P247"/>
    <mergeCell ref="Q245:Q247"/>
    <mergeCell ref="R245:R247"/>
    <mergeCell ref="T163:T165"/>
    <mergeCell ref="U163:U165"/>
    <mergeCell ref="V163:V165"/>
    <mergeCell ref="W163:W165"/>
    <mergeCell ref="X163:X165"/>
    <mergeCell ref="Y163:Y165"/>
    <mergeCell ref="N59:N61"/>
    <mergeCell ref="O59:O61"/>
    <mergeCell ref="P59:P61"/>
    <mergeCell ref="Q59:Q61"/>
    <mergeCell ref="R59:R61"/>
    <mergeCell ref="S59:S61"/>
    <mergeCell ref="T59:T61"/>
    <mergeCell ref="U59:U61"/>
    <mergeCell ref="V59:V61"/>
    <mergeCell ref="W59:W61"/>
    <mergeCell ref="X59:X61"/>
    <mergeCell ref="Y59:Y61"/>
    <mergeCell ref="N62:N64"/>
    <mergeCell ref="O62:O64"/>
    <mergeCell ref="P62:P64"/>
    <mergeCell ref="Q62:Q64"/>
    <mergeCell ref="R62:R64"/>
    <mergeCell ref="S62:S64"/>
    <mergeCell ref="T62:T64"/>
    <mergeCell ref="U62:U64"/>
    <mergeCell ref="V62:V64"/>
    <mergeCell ref="W62:W64"/>
    <mergeCell ref="X62:X64"/>
    <mergeCell ref="Y62:Y64"/>
    <mergeCell ref="G228:G232"/>
    <mergeCell ref="N212:N214"/>
    <mergeCell ref="O212:O214"/>
    <mergeCell ref="P212:P214"/>
    <mergeCell ref="Q212:Q214"/>
    <mergeCell ref="R212:R214"/>
    <mergeCell ref="S212:S214"/>
    <mergeCell ref="T212:T214"/>
    <mergeCell ref="U212:U214"/>
    <mergeCell ref="V212:V214"/>
    <mergeCell ref="W212:W214"/>
    <mergeCell ref="X212:X214"/>
    <mergeCell ref="Y212:Y214"/>
    <mergeCell ref="N199:N201"/>
    <mergeCell ref="O199:O201"/>
    <mergeCell ref="P199:P201"/>
    <mergeCell ref="Q199:Q201"/>
    <mergeCell ref="R199:R201"/>
    <mergeCell ref="S199:S201"/>
    <mergeCell ref="T199:T201"/>
    <mergeCell ref="U199:U201"/>
    <mergeCell ref="V199:V201"/>
    <mergeCell ref="W199:W201"/>
    <mergeCell ref="X199:X201"/>
    <mergeCell ref="Y199:Y201"/>
    <mergeCell ref="H228:H232"/>
    <mergeCell ref="I228:I232"/>
    <mergeCell ref="J228:J232"/>
    <mergeCell ref="K228:K232"/>
    <mergeCell ref="L228:L232"/>
    <mergeCell ref="M228:M232"/>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16:G222"/>
    <mergeCell ref="H223:H227"/>
    <mergeCell ref="I223:I227"/>
    <mergeCell ref="J223:J227"/>
    <mergeCell ref="K223:K227"/>
    <mergeCell ref="L223:L227"/>
    <mergeCell ref="M223:M227"/>
    <mergeCell ref="AF223:AF227"/>
    <mergeCell ref="AG223:AG227"/>
    <mergeCell ref="AH223:AH227"/>
    <mergeCell ref="AI223:AI227"/>
    <mergeCell ref="AJ223:AJ227"/>
    <mergeCell ref="AK223:AK227"/>
    <mergeCell ref="N224:N226"/>
    <mergeCell ref="O224:O226"/>
    <mergeCell ref="P224:P226"/>
    <mergeCell ref="Q224:Q226"/>
    <mergeCell ref="R224:R226"/>
    <mergeCell ref="S224:S226"/>
    <mergeCell ref="T224:T226"/>
    <mergeCell ref="U224:U226"/>
    <mergeCell ref="V224:V226"/>
    <mergeCell ref="W224:W226"/>
    <mergeCell ref="X224:X226"/>
    <mergeCell ref="Y224:Y226"/>
    <mergeCell ref="G223:G227"/>
    <mergeCell ref="H216:H222"/>
    <mergeCell ref="I216:I222"/>
    <mergeCell ref="J216:J222"/>
    <mergeCell ref="K216:K222"/>
    <mergeCell ref="L216:L222"/>
    <mergeCell ref="M216:M222"/>
    <mergeCell ref="AF216:AF222"/>
    <mergeCell ref="AG216:AG222"/>
    <mergeCell ref="AH216:AH222"/>
    <mergeCell ref="AI216:AI222"/>
    <mergeCell ref="AJ216:AJ222"/>
    <mergeCell ref="AK216:AK222"/>
    <mergeCell ref="N217:N221"/>
    <mergeCell ref="O217:O221"/>
    <mergeCell ref="P217:P221"/>
    <mergeCell ref="Q217:Q221"/>
    <mergeCell ref="R217:R221"/>
    <mergeCell ref="S217:S221"/>
    <mergeCell ref="T217:T221"/>
    <mergeCell ref="U217:U221"/>
    <mergeCell ref="V217:V221"/>
    <mergeCell ref="W217:W221"/>
    <mergeCell ref="X217:X221"/>
    <mergeCell ref="Y217:Y221"/>
    <mergeCell ref="G203:G207"/>
    <mergeCell ref="H208:H215"/>
    <mergeCell ref="I208:I215"/>
    <mergeCell ref="J208:J215"/>
    <mergeCell ref="K208:K215"/>
    <mergeCell ref="L208:L215"/>
    <mergeCell ref="M208:M215"/>
    <mergeCell ref="AF208:AF215"/>
    <mergeCell ref="AG208:AG215"/>
    <mergeCell ref="AH208:AH215"/>
    <mergeCell ref="AI208:AI215"/>
    <mergeCell ref="AJ208:AJ215"/>
    <mergeCell ref="AK208:AK215"/>
    <mergeCell ref="N209:N211"/>
    <mergeCell ref="O209:O211"/>
    <mergeCell ref="P209:P211"/>
    <mergeCell ref="Q209:Q211"/>
    <mergeCell ref="R209:R211"/>
    <mergeCell ref="S209:S211"/>
    <mergeCell ref="T209:T211"/>
    <mergeCell ref="U209:U211"/>
    <mergeCell ref="V209:V211"/>
    <mergeCell ref="W209:W211"/>
    <mergeCell ref="X209:X211"/>
    <mergeCell ref="Y209:Y211"/>
    <mergeCell ref="G208:G215"/>
    <mergeCell ref="H203:H207"/>
    <mergeCell ref="I203:I207"/>
    <mergeCell ref="J203:J207"/>
    <mergeCell ref="K203:K207"/>
    <mergeCell ref="L203:L207"/>
    <mergeCell ref="M203:M207"/>
    <mergeCell ref="AF203:AF207"/>
    <mergeCell ref="AG203:AG207"/>
    <mergeCell ref="AH203:AH207"/>
    <mergeCell ref="AI203:AI207"/>
    <mergeCell ref="AJ203:AJ207"/>
    <mergeCell ref="AK203:AK207"/>
    <mergeCell ref="N204:N206"/>
    <mergeCell ref="O204:O206"/>
    <mergeCell ref="P204:P206"/>
    <mergeCell ref="Q204:Q206"/>
    <mergeCell ref="R204:R206"/>
    <mergeCell ref="S204:S206"/>
    <mergeCell ref="T204:T206"/>
    <mergeCell ref="U204:U206"/>
    <mergeCell ref="V204:V206"/>
    <mergeCell ref="W204:W206"/>
    <mergeCell ref="X204:X206"/>
    <mergeCell ref="Y204:Y206"/>
    <mergeCell ref="G187:G194"/>
    <mergeCell ref="H195:H202"/>
    <mergeCell ref="I195:I202"/>
    <mergeCell ref="J195:J202"/>
    <mergeCell ref="K195:K202"/>
    <mergeCell ref="L195:L202"/>
    <mergeCell ref="M195:M202"/>
    <mergeCell ref="AF195:AF202"/>
    <mergeCell ref="AG195:AG202"/>
    <mergeCell ref="AH195:AH202"/>
    <mergeCell ref="AI195:AI202"/>
    <mergeCell ref="AJ195:AJ202"/>
    <mergeCell ref="AK195:AK202"/>
    <mergeCell ref="N196:N198"/>
    <mergeCell ref="O196:O198"/>
    <mergeCell ref="P196:P198"/>
    <mergeCell ref="Q196:Q198"/>
    <mergeCell ref="R196:R198"/>
    <mergeCell ref="S196:S198"/>
    <mergeCell ref="T196:T198"/>
    <mergeCell ref="U196:U198"/>
    <mergeCell ref="V196:V198"/>
    <mergeCell ref="W196:W198"/>
    <mergeCell ref="X196:X198"/>
    <mergeCell ref="Y196:Y198"/>
    <mergeCell ref="G195:G202"/>
    <mergeCell ref="N191:N193"/>
    <mergeCell ref="O191:O193"/>
    <mergeCell ref="P191:P193"/>
    <mergeCell ref="Q191:Q193"/>
    <mergeCell ref="R191:R193"/>
    <mergeCell ref="S191:S193"/>
    <mergeCell ref="H187:H194"/>
    <mergeCell ref="I187:I194"/>
    <mergeCell ref="J187:J194"/>
    <mergeCell ref="K187:K194"/>
    <mergeCell ref="L187:L194"/>
    <mergeCell ref="M187:M194"/>
    <mergeCell ref="AF187:AF194"/>
    <mergeCell ref="AG187:AG194"/>
    <mergeCell ref="AH187:AH194"/>
    <mergeCell ref="AI187:AI194"/>
    <mergeCell ref="AJ187:AJ194"/>
    <mergeCell ref="AK187:AK194"/>
    <mergeCell ref="N188:N190"/>
    <mergeCell ref="O188:O190"/>
    <mergeCell ref="P188:P190"/>
    <mergeCell ref="Q188:Q190"/>
    <mergeCell ref="R188:R190"/>
    <mergeCell ref="S188:S190"/>
    <mergeCell ref="T188:T190"/>
    <mergeCell ref="U188:U190"/>
    <mergeCell ref="V188:V190"/>
    <mergeCell ref="W188:W190"/>
    <mergeCell ref="X188:X190"/>
    <mergeCell ref="Y188:Y190"/>
    <mergeCell ref="T191:T193"/>
    <mergeCell ref="U191:U193"/>
    <mergeCell ref="V191:V193"/>
    <mergeCell ref="W191:W193"/>
    <mergeCell ref="X191:X193"/>
    <mergeCell ref="Y191:Y193"/>
    <mergeCell ref="G177:G181"/>
    <mergeCell ref="H182:H186"/>
    <mergeCell ref="I182:I186"/>
    <mergeCell ref="J182:J186"/>
    <mergeCell ref="K182:K186"/>
    <mergeCell ref="L182:L186"/>
    <mergeCell ref="M182:M186"/>
    <mergeCell ref="AF182:AF186"/>
    <mergeCell ref="AG182:AG186"/>
    <mergeCell ref="AH182:AH186"/>
    <mergeCell ref="AI182:AI186"/>
    <mergeCell ref="AJ182:AJ186"/>
    <mergeCell ref="AK182:AK186"/>
    <mergeCell ref="N183:N185"/>
    <mergeCell ref="O183:O185"/>
    <mergeCell ref="P183:P185"/>
    <mergeCell ref="Q183:Q185"/>
    <mergeCell ref="R183:R185"/>
    <mergeCell ref="S183:S185"/>
    <mergeCell ref="T183:T185"/>
    <mergeCell ref="U183:U185"/>
    <mergeCell ref="V183:V185"/>
    <mergeCell ref="W183:W185"/>
    <mergeCell ref="X183:X185"/>
    <mergeCell ref="Y183:Y185"/>
    <mergeCell ref="G182:G186"/>
    <mergeCell ref="H177:H181"/>
    <mergeCell ref="I177:I181"/>
    <mergeCell ref="J177:J181"/>
    <mergeCell ref="K177:K181"/>
    <mergeCell ref="L177:L181"/>
    <mergeCell ref="M177:M181"/>
    <mergeCell ref="AF177:AF181"/>
    <mergeCell ref="AG177:AG181"/>
    <mergeCell ref="AH177:AH181"/>
    <mergeCell ref="AI177:AI181"/>
    <mergeCell ref="AJ177:AJ181"/>
    <mergeCell ref="AK177:AK181"/>
    <mergeCell ref="N178:N180"/>
    <mergeCell ref="O178:O180"/>
    <mergeCell ref="P178:P180"/>
    <mergeCell ref="Q178:Q180"/>
    <mergeCell ref="R178:R180"/>
    <mergeCell ref="S178:S180"/>
    <mergeCell ref="T178:T180"/>
    <mergeCell ref="U178:U180"/>
    <mergeCell ref="V178:V180"/>
    <mergeCell ref="W178:W180"/>
    <mergeCell ref="X178:X180"/>
    <mergeCell ref="Y178:Y180"/>
    <mergeCell ref="G167:G171"/>
    <mergeCell ref="H172:H176"/>
    <mergeCell ref="I172:I176"/>
    <mergeCell ref="J172:J176"/>
    <mergeCell ref="K172:K176"/>
    <mergeCell ref="L172:L176"/>
    <mergeCell ref="M172:M176"/>
    <mergeCell ref="AF172:AF176"/>
    <mergeCell ref="AG172:AG176"/>
    <mergeCell ref="AH172:AH176"/>
    <mergeCell ref="AI172:AI176"/>
    <mergeCell ref="AJ172:AJ176"/>
    <mergeCell ref="AK172:AK176"/>
    <mergeCell ref="N173:N175"/>
    <mergeCell ref="O173:O175"/>
    <mergeCell ref="P173:P175"/>
    <mergeCell ref="Q173:Q175"/>
    <mergeCell ref="R173:R175"/>
    <mergeCell ref="S173:S175"/>
    <mergeCell ref="T173:T175"/>
    <mergeCell ref="U173:U175"/>
    <mergeCell ref="V173:V175"/>
    <mergeCell ref="W173:W175"/>
    <mergeCell ref="X173:X175"/>
    <mergeCell ref="Y173:Y175"/>
    <mergeCell ref="G172:G176"/>
    <mergeCell ref="H167:H171"/>
    <mergeCell ref="I167:I171"/>
    <mergeCell ref="J167:J171"/>
    <mergeCell ref="K167:K171"/>
    <mergeCell ref="L167:L171"/>
    <mergeCell ref="M167:M171"/>
    <mergeCell ref="AF167:AF171"/>
    <mergeCell ref="AG167:AG171"/>
    <mergeCell ref="AH167:AH171"/>
    <mergeCell ref="AI167:AI171"/>
    <mergeCell ref="AJ167:AJ171"/>
    <mergeCell ref="AK167:AK171"/>
    <mergeCell ref="N168:N170"/>
    <mergeCell ref="O168:O170"/>
    <mergeCell ref="P168:P170"/>
    <mergeCell ref="Q168:Q170"/>
    <mergeCell ref="R168:R170"/>
    <mergeCell ref="S168:S170"/>
    <mergeCell ref="T168:T170"/>
    <mergeCell ref="U168:U170"/>
    <mergeCell ref="V168:V170"/>
    <mergeCell ref="W168:W170"/>
    <mergeCell ref="X168:X170"/>
    <mergeCell ref="Y168:Y170"/>
    <mergeCell ref="G151:G156"/>
    <mergeCell ref="H157:H166"/>
    <mergeCell ref="I157:I166"/>
    <mergeCell ref="J157:J166"/>
    <mergeCell ref="K157:K166"/>
    <mergeCell ref="L157:L166"/>
    <mergeCell ref="M157:M166"/>
    <mergeCell ref="AF157:AF166"/>
    <mergeCell ref="AG157:AG166"/>
    <mergeCell ref="AH157:AH166"/>
    <mergeCell ref="AI157:AI166"/>
    <mergeCell ref="AJ157:AJ166"/>
    <mergeCell ref="AK157:AK166"/>
    <mergeCell ref="N158:N162"/>
    <mergeCell ref="O158:O162"/>
    <mergeCell ref="P158:P162"/>
    <mergeCell ref="Q158:Q162"/>
    <mergeCell ref="R158:R162"/>
    <mergeCell ref="S158:S162"/>
    <mergeCell ref="T158:T162"/>
    <mergeCell ref="U158:U162"/>
    <mergeCell ref="V158:V162"/>
    <mergeCell ref="W158:W162"/>
    <mergeCell ref="X158:X162"/>
    <mergeCell ref="Y158:Y162"/>
    <mergeCell ref="G157:G166"/>
    <mergeCell ref="N163:N165"/>
    <mergeCell ref="O163:O165"/>
    <mergeCell ref="P163:P165"/>
    <mergeCell ref="Q163:Q165"/>
    <mergeCell ref="R163:R165"/>
    <mergeCell ref="S163:S165"/>
    <mergeCell ref="H151:H156"/>
    <mergeCell ref="I151:I156"/>
    <mergeCell ref="J151:J156"/>
    <mergeCell ref="K151:K156"/>
    <mergeCell ref="L151:L156"/>
    <mergeCell ref="M151:M156"/>
    <mergeCell ref="AF151:AF156"/>
    <mergeCell ref="AG151:AG156"/>
    <mergeCell ref="AH151:AH156"/>
    <mergeCell ref="AI151:AI156"/>
    <mergeCell ref="AJ151:AJ156"/>
    <mergeCell ref="AK151:AK156"/>
    <mergeCell ref="N152:N155"/>
    <mergeCell ref="O152:O155"/>
    <mergeCell ref="P152:P155"/>
    <mergeCell ref="Q152:Q155"/>
    <mergeCell ref="R152:R155"/>
    <mergeCell ref="S152:S155"/>
    <mergeCell ref="T152:T155"/>
    <mergeCell ref="U152:U155"/>
    <mergeCell ref="V152:V155"/>
    <mergeCell ref="W152:W155"/>
    <mergeCell ref="X152:X155"/>
    <mergeCell ref="Y152:Y155"/>
    <mergeCell ref="G141:G145"/>
    <mergeCell ref="H146:H150"/>
    <mergeCell ref="I146:I150"/>
    <mergeCell ref="J146:J150"/>
    <mergeCell ref="K146:K150"/>
    <mergeCell ref="L146:L150"/>
    <mergeCell ref="M146:M150"/>
    <mergeCell ref="AF146:AF150"/>
    <mergeCell ref="AG146:AG150"/>
    <mergeCell ref="AH146:AH150"/>
    <mergeCell ref="AI146:AI150"/>
    <mergeCell ref="AJ146:AJ150"/>
    <mergeCell ref="AK146:AK150"/>
    <mergeCell ref="N147:N149"/>
    <mergeCell ref="O147:O149"/>
    <mergeCell ref="P147:P149"/>
    <mergeCell ref="Q147:Q149"/>
    <mergeCell ref="R147:R149"/>
    <mergeCell ref="S147:S149"/>
    <mergeCell ref="T147:T149"/>
    <mergeCell ref="U147:U149"/>
    <mergeCell ref="V147:V149"/>
    <mergeCell ref="W147:W149"/>
    <mergeCell ref="X147:X149"/>
    <mergeCell ref="Y147:Y149"/>
    <mergeCell ref="G146:G150"/>
    <mergeCell ref="H141:H145"/>
    <mergeCell ref="I141:I145"/>
    <mergeCell ref="J141:J145"/>
    <mergeCell ref="K141:K145"/>
    <mergeCell ref="L141:L145"/>
    <mergeCell ref="M141:M145"/>
    <mergeCell ref="AF141:AF145"/>
    <mergeCell ref="AG141:AG145"/>
    <mergeCell ref="AH141:AH145"/>
    <mergeCell ref="AI141:AI145"/>
    <mergeCell ref="AJ141:AJ145"/>
    <mergeCell ref="AK141:AK145"/>
    <mergeCell ref="N142:N144"/>
    <mergeCell ref="O142:O144"/>
    <mergeCell ref="P142:P144"/>
    <mergeCell ref="Q142:Q144"/>
    <mergeCell ref="R142:R144"/>
    <mergeCell ref="S142:S144"/>
    <mergeCell ref="T142:T144"/>
    <mergeCell ref="U142:U144"/>
    <mergeCell ref="V142:V144"/>
    <mergeCell ref="W142:W144"/>
    <mergeCell ref="X142:X144"/>
    <mergeCell ref="Y142:Y144"/>
    <mergeCell ref="G131:G135"/>
    <mergeCell ref="H136:H140"/>
    <mergeCell ref="I136:I140"/>
    <mergeCell ref="J136:J140"/>
    <mergeCell ref="K136:K140"/>
    <mergeCell ref="L136:L140"/>
    <mergeCell ref="M136:M140"/>
    <mergeCell ref="AF136:AF140"/>
    <mergeCell ref="AG136:AG140"/>
    <mergeCell ref="AH136:AH140"/>
    <mergeCell ref="AI136:AI140"/>
    <mergeCell ref="AJ136:AJ140"/>
    <mergeCell ref="AK136:AK140"/>
    <mergeCell ref="N137:N139"/>
    <mergeCell ref="O137:O139"/>
    <mergeCell ref="P137:P139"/>
    <mergeCell ref="Q137:Q139"/>
    <mergeCell ref="R137:R139"/>
    <mergeCell ref="S137:S139"/>
    <mergeCell ref="T137:T139"/>
    <mergeCell ref="U137:U139"/>
    <mergeCell ref="V137:V139"/>
    <mergeCell ref="W137:W139"/>
    <mergeCell ref="X137:X139"/>
    <mergeCell ref="Y137:Y139"/>
    <mergeCell ref="G136:G140"/>
    <mergeCell ref="H131:H135"/>
    <mergeCell ref="I131:I135"/>
    <mergeCell ref="J131:J135"/>
    <mergeCell ref="K131:K135"/>
    <mergeCell ref="L131:L135"/>
    <mergeCell ref="M131:M135"/>
    <mergeCell ref="AF131:AF135"/>
    <mergeCell ref="AG131:AG135"/>
    <mergeCell ref="AH131:AH135"/>
    <mergeCell ref="AI131:AI135"/>
    <mergeCell ref="AJ131:AJ135"/>
    <mergeCell ref="AK131:AK135"/>
    <mergeCell ref="N132:N134"/>
    <mergeCell ref="O132:O134"/>
    <mergeCell ref="P132:P134"/>
    <mergeCell ref="Q132:Q134"/>
    <mergeCell ref="R132:R134"/>
    <mergeCell ref="S132:S134"/>
    <mergeCell ref="T132:T134"/>
    <mergeCell ref="U132:U134"/>
    <mergeCell ref="V132:V134"/>
    <mergeCell ref="W132:W134"/>
    <mergeCell ref="X132:X134"/>
    <mergeCell ref="Y132:Y134"/>
    <mergeCell ref="G121:G125"/>
    <mergeCell ref="H126:H130"/>
    <mergeCell ref="I126:I130"/>
    <mergeCell ref="J126:J130"/>
    <mergeCell ref="K126:K130"/>
    <mergeCell ref="L126:L130"/>
    <mergeCell ref="M126:M130"/>
    <mergeCell ref="AF126:AF130"/>
    <mergeCell ref="AG126:AG130"/>
    <mergeCell ref="AH126:AH130"/>
    <mergeCell ref="AI126:AI130"/>
    <mergeCell ref="AJ126:AJ130"/>
    <mergeCell ref="AK126:AK130"/>
    <mergeCell ref="N127:N129"/>
    <mergeCell ref="O127:O129"/>
    <mergeCell ref="P127:P129"/>
    <mergeCell ref="Q127:Q129"/>
    <mergeCell ref="R127:R129"/>
    <mergeCell ref="S127:S129"/>
    <mergeCell ref="T127:T129"/>
    <mergeCell ref="U127:U129"/>
    <mergeCell ref="V127:V129"/>
    <mergeCell ref="W127:W129"/>
    <mergeCell ref="X127:X129"/>
    <mergeCell ref="Y127:Y129"/>
    <mergeCell ref="G126:G130"/>
    <mergeCell ref="H121:H125"/>
    <mergeCell ref="I121:I125"/>
    <mergeCell ref="J121:J125"/>
    <mergeCell ref="K121:K125"/>
    <mergeCell ref="L121:L125"/>
    <mergeCell ref="M121:M125"/>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G111:G115"/>
    <mergeCell ref="H116:H120"/>
    <mergeCell ref="I116:I120"/>
    <mergeCell ref="J116:J120"/>
    <mergeCell ref="K116:K120"/>
    <mergeCell ref="L116:L120"/>
    <mergeCell ref="M116:M120"/>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G116:G120"/>
    <mergeCell ref="H111:H115"/>
    <mergeCell ref="I111:I115"/>
    <mergeCell ref="J111:J115"/>
    <mergeCell ref="K111:K115"/>
    <mergeCell ref="L111:L115"/>
    <mergeCell ref="M111:M115"/>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G99:G103"/>
    <mergeCell ref="H104:H110"/>
    <mergeCell ref="I104:I110"/>
    <mergeCell ref="J104:J110"/>
    <mergeCell ref="K104:K110"/>
    <mergeCell ref="L104:L110"/>
    <mergeCell ref="M104:M110"/>
    <mergeCell ref="AF104:AF110"/>
    <mergeCell ref="AG104:AG110"/>
    <mergeCell ref="AH104:AH110"/>
    <mergeCell ref="AI104:AI110"/>
    <mergeCell ref="AJ104:AJ110"/>
    <mergeCell ref="AK104:AK110"/>
    <mergeCell ref="N105:N109"/>
    <mergeCell ref="O105:O109"/>
    <mergeCell ref="P105:P109"/>
    <mergeCell ref="Q105:Q109"/>
    <mergeCell ref="R105:R109"/>
    <mergeCell ref="S105:S109"/>
    <mergeCell ref="T105:T109"/>
    <mergeCell ref="U105:U109"/>
    <mergeCell ref="V105:V109"/>
    <mergeCell ref="W105:W109"/>
    <mergeCell ref="X105:X109"/>
    <mergeCell ref="Y105:Y109"/>
    <mergeCell ref="G104:G110"/>
    <mergeCell ref="H99:H103"/>
    <mergeCell ref="I99:I103"/>
    <mergeCell ref="J99:J103"/>
    <mergeCell ref="K99:K103"/>
    <mergeCell ref="L99:L103"/>
    <mergeCell ref="M99:M103"/>
    <mergeCell ref="AF99:AF103"/>
    <mergeCell ref="AG99:AG103"/>
    <mergeCell ref="AH99:AH103"/>
    <mergeCell ref="AI99:AI103"/>
    <mergeCell ref="AJ99:AJ103"/>
    <mergeCell ref="AK99:AK103"/>
    <mergeCell ref="N100:N102"/>
    <mergeCell ref="O100:O102"/>
    <mergeCell ref="P100:P102"/>
    <mergeCell ref="Q100:Q102"/>
    <mergeCell ref="R100:R102"/>
    <mergeCell ref="S100:S102"/>
    <mergeCell ref="T100:T102"/>
    <mergeCell ref="U100:U102"/>
    <mergeCell ref="V100:V102"/>
    <mergeCell ref="W100:W102"/>
    <mergeCell ref="X100:X102"/>
    <mergeCell ref="Y100:Y102"/>
    <mergeCell ref="G87:G92"/>
    <mergeCell ref="H93:H98"/>
    <mergeCell ref="I93:I98"/>
    <mergeCell ref="J93:J98"/>
    <mergeCell ref="K93:K98"/>
    <mergeCell ref="L93:L98"/>
    <mergeCell ref="M93:M98"/>
    <mergeCell ref="AF93:AF98"/>
    <mergeCell ref="AG93:AG98"/>
    <mergeCell ref="AH93:AH98"/>
    <mergeCell ref="AI93:AI98"/>
    <mergeCell ref="AJ93:AJ98"/>
    <mergeCell ref="AK93:AK98"/>
    <mergeCell ref="N94:N97"/>
    <mergeCell ref="O94:O97"/>
    <mergeCell ref="P94:P97"/>
    <mergeCell ref="Q94:Q97"/>
    <mergeCell ref="R94:R97"/>
    <mergeCell ref="S94:S97"/>
    <mergeCell ref="T94:T97"/>
    <mergeCell ref="U94:U97"/>
    <mergeCell ref="V94:V97"/>
    <mergeCell ref="W94:W97"/>
    <mergeCell ref="X94:X97"/>
    <mergeCell ref="Y94:Y97"/>
    <mergeCell ref="G93:G98"/>
    <mergeCell ref="H87:H92"/>
    <mergeCell ref="I87:I92"/>
    <mergeCell ref="J87:J92"/>
    <mergeCell ref="K87:K92"/>
    <mergeCell ref="L87:L92"/>
    <mergeCell ref="M87:M92"/>
    <mergeCell ref="AF87:AF92"/>
    <mergeCell ref="AG87:AG92"/>
    <mergeCell ref="AH87:AH92"/>
    <mergeCell ref="AI87:AI92"/>
    <mergeCell ref="AJ87:AJ92"/>
    <mergeCell ref="AK87:AK92"/>
    <mergeCell ref="N88:N91"/>
    <mergeCell ref="O88:O91"/>
    <mergeCell ref="P88:P91"/>
    <mergeCell ref="Q88:Q91"/>
    <mergeCell ref="R88:R91"/>
    <mergeCell ref="S88:S91"/>
    <mergeCell ref="T88:T91"/>
    <mergeCell ref="U88:U91"/>
    <mergeCell ref="V88:V91"/>
    <mergeCell ref="W88:W91"/>
    <mergeCell ref="X88:X91"/>
    <mergeCell ref="Y88:Y91"/>
    <mergeCell ref="G76:G81"/>
    <mergeCell ref="H82:H86"/>
    <mergeCell ref="I82:I86"/>
    <mergeCell ref="J82:J86"/>
    <mergeCell ref="K82:K86"/>
    <mergeCell ref="L82:L86"/>
    <mergeCell ref="M82:M86"/>
    <mergeCell ref="AF82:AF86"/>
    <mergeCell ref="AG82:AG86"/>
    <mergeCell ref="AH82:AH86"/>
    <mergeCell ref="AI82:AI86"/>
    <mergeCell ref="AJ82:AJ86"/>
    <mergeCell ref="AK82:AK86"/>
    <mergeCell ref="N83:N85"/>
    <mergeCell ref="O83:O85"/>
    <mergeCell ref="P83:P85"/>
    <mergeCell ref="Q83:Q85"/>
    <mergeCell ref="R83:R85"/>
    <mergeCell ref="S83:S85"/>
    <mergeCell ref="T83:T85"/>
    <mergeCell ref="U83:U85"/>
    <mergeCell ref="V83:V85"/>
    <mergeCell ref="W83:W85"/>
    <mergeCell ref="X83:X85"/>
    <mergeCell ref="Y83:Y85"/>
    <mergeCell ref="G82:G86"/>
    <mergeCell ref="H76:H81"/>
    <mergeCell ref="I76:I81"/>
    <mergeCell ref="J76:J81"/>
    <mergeCell ref="K76:K81"/>
    <mergeCell ref="L76:L81"/>
    <mergeCell ref="M76:M81"/>
    <mergeCell ref="AF76:AF81"/>
    <mergeCell ref="AG76:AG81"/>
    <mergeCell ref="AH76:AH81"/>
    <mergeCell ref="AI76:AI81"/>
    <mergeCell ref="AJ76:AJ81"/>
    <mergeCell ref="AK76:AK81"/>
    <mergeCell ref="N77:N80"/>
    <mergeCell ref="O77:O80"/>
    <mergeCell ref="P77:P80"/>
    <mergeCell ref="Q77:Q80"/>
    <mergeCell ref="R77:R80"/>
    <mergeCell ref="S77:S80"/>
    <mergeCell ref="T77:T80"/>
    <mergeCell ref="U77:U80"/>
    <mergeCell ref="V77:V80"/>
    <mergeCell ref="W77:W80"/>
    <mergeCell ref="X77:X80"/>
    <mergeCell ref="Y77:Y80"/>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66:H70"/>
    <mergeCell ref="I66:I70"/>
    <mergeCell ref="J66:J70"/>
    <mergeCell ref="K66:K70"/>
    <mergeCell ref="L66:L70"/>
    <mergeCell ref="M66:M70"/>
    <mergeCell ref="AF66:AF70"/>
    <mergeCell ref="AG66:AG70"/>
    <mergeCell ref="AH66:AH70"/>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50:G54"/>
    <mergeCell ref="H55:H65"/>
    <mergeCell ref="I55:I65"/>
    <mergeCell ref="J55:J65"/>
    <mergeCell ref="K55:K65"/>
    <mergeCell ref="L55:L65"/>
    <mergeCell ref="M55:M65"/>
    <mergeCell ref="AF55:AF65"/>
    <mergeCell ref="AG55:AG65"/>
    <mergeCell ref="AH55:AH65"/>
    <mergeCell ref="AI55:AI65"/>
    <mergeCell ref="AJ55:AJ65"/>
    <mergeCell ref="AK55:AK65"/>
    <mergeCell ref="N56:N58"/>
    <mergeCell ref="O56:O58"/>
    <mergeCell ref="P56:P58"/>
    <mergeCell ref="Q56:Q58"/>
    <mergeCell ref="R56:R58"/>
    <mergeCell ref="S56:S58"/>
    <mergeCell ref="T56:T58"/>
    <mergeCell ref="U56:U58"/>
    <mergeCell ref="V56:V58"/>
    <mergeCell ref="W56:W58"/>
    <mergeCell ref="X56:X58"/>
    <mergeCell ref="Y56:Y58"/>
    <mergeCell ref="G55:G65"/>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326:P328"/>
    <mergeCell ref="Q326:Q328"/>
    <mergeCell ref="R326:R328"/>
    <mergeCell ref="G325:G329"/>
    <mergeCell ref="AJ325:AJ329"/>
    <mergeCell ref="AK325:AK329"/>
    <mergeCell ref="I403:K403"/>
    <mergeCell ref="F325:F403"/>
    <mergeCell ref="AF325:AF329"/>
    <mergeCell ref="AG325:AG329"/>
    <mergeCell ref="AH325:AH329"/>
    <mergeCell ref="AI325:AI329"/>
    <mergeCell ref="S326:S328"/>
    <mergeCell ref="T326:T328"/>
    <mergeCell ref="U326:U328"/>
    <mergeCell ref="V326:V328"/>
    <mergeCell ref="W326:W328"/>
    <mergeCell ref="X326:X328"/>
    <mergeCell ref="Y326:Y328"/>
    <mergeCell ref="H325:H329"/>
    <mergeCell ref="I325:I329"/>
    <mergeCell ref="J325:J329"/>
    <mergeCell ref="K325:K329"/>
    <mergeCell ref="L325:L329"/>
    <mergeCell ref="M325:M329"/>
    <mergeCell ref="N326:N328"/>
    <mergeCell ref="O326:O328"/>
    <mergeCell ref="H330:H334"/>
    <mergeCell ref="I330:I334"/>
    <mergeCell ref="J330:J334"/>
    <mergeCell ref="K330:K334"/>
    <mergeCell ref="L330:L334"/>
    <mergeCell ref="AK234:AK238"/>
    <mergeCell ref="I324:K324"/>
    <mergeCell ref="F234:F324"/>
    <mergeCell ref="AF234:AF238"/>
    <mergeCell ref="AG234:AG238"/>
    <mergeCell ref="AH234:AH238"/>
    <mergeCell ref="AI234:AI238"/>
    <mergeCell ref="S235:S237"/>
    <mergeCell ref="T235:T237"/>
    <mergeCell ref="U235:U237"/>
    <mergeCell ref="V235:V237"/>
    <mergeCell ref="W235:W237"/>
    <mergeCell ref="X235:X237"/>
    <mergeCell ref="Y235:Y237"/>
    <mergeCell ref="H234:H238"/>
    <mergeCell ref="I234:I238"/>
    <mergeCell ref="J234:J238"/>
    <mergeCell ref="K234:K238"/>
    <mergeCell ref="L234:L238"/>
    <mergeCell ref="M234:M238"/>
    <mergeCell ref="N235:N237"/>
    <mergeCell ref="O235:O237"/>
    <mergeCell ref="H239:H243"/>
    <mergeCell ref="I239:I243"/>
    <mergeCell ref="J239:J243"/>
    <mergeCell ref="K239:K243"/>
    <mergeCell ref="L239:L243"/>
    <mergeCell ref="M239:M243"/>
    <mergeCell ref="AF239:AF243"/>
    <mergeCell ref="AG239:AG243"/>
    <mergeCell ref="AH239:AH243"/>
    <mergeCell ref="AI239:AI243"/>
    <mergeCell ref="F5:K5"/>
    <mergeCell ref="P16:P18"/>
    <mergeCell ref="Q16:Q18"/>
    <mergeCell ref="R16:R18"/>
    <mergeCell ref="G15:G19"/>
    <mergeCell ref="AJ15:AJ19"/>
    <mergeCell ref="AK15:AK19"/>
    <mergeCell ref="I233:K233"/>
    <mergeCell ref="F15:F233"/>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409:J40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408:J408"/>
    <mergeCell ref="F407:J407"/>
    <mergeCell ref="P235:P237"/>
    <mergeCell ref="Q235:Q237"/>
    <mergeCell ref="R235:R237"/>
    <mergeCell ref="G234:G238"/>
    <mergeCell ref="AJ234:AJ238"/>
  </mergeCells>
  <dataValidations count="4">
    <dataValidation type="whole" allowBlank="1" showErrorMessage="1" errorTitle="Ошибка" error="Допускается ввод только неотрицательных целых чисел!" sqref="AF234:AF323 AI234:AI323 AF325:AF402 AI325:AI402 AI15:AI232 AF15:AF232" xr:uid="{00000000-0002-0000-2900-000000000000}">
      <formula1>0</formula1>
      <formula2>9.99999999999999E+23</formula2>
    </dataValidation>
    <dataValidation type="decimal" allowBlank="1" showErrorMessage="1" errorTitle="Ошибка" error="Допускается ввод только неотрицательных чисел!" sqref="AE164 AC164 AE192 AC192 AE200 AC200 AE213 AC213 AE230 AC230 AE225 AC225 AE210 AC210 AE205 AC205 AE197 AC197 AE189 AC189 AE184 AC184 AE179 AC179 AE174 AC174 AE169 AC169 AE148 AC148 AE143 AC143 AE138 AC138 AE133 AC133 AE128 AC128 AE123 AC123 AE118 AC118 AE113 AC113 AE101 AC101 AE84 AC84 AE73 AC73 AE68 AC68 AE57 AC57 AE52 AC52 AE47 AC47 AE42 AC42 AE37 AC37 AE32 AC32 AE27 AC27 AE22 AC22 AE327 AC327 AE236 AC236 AE17 AC17 AC60 AE60 AC63 AE63 AC95:AC96 AE95:AE96 AC153:AC154 AE153:AE154 AC218:AC220 AE218:AE220 AC241 AE241 AC246 AE246 AC254 AE254 AC259 AE259 AC264 AE264 AC272 AE272 AC277 AE277 AC282 AE282 AC287 AE287 AC292 AE292 AC297 AE297 AC308 AE308 AC313 AE313 AC321 AE321 AC316 AE316 AC300 AE300 AC303 AE303 AC267 AE267 AC249 AE249 AC332 AE332 AC353 AE353 AC376 AE376 AC368 AE368 AC371 AE371 AC337:AC338 AE337:AE338 AC341:AC342 AE341:AE342 AC347:AC348 AE347:AE348 AC358:AC359 AE358:AE359 AC364:AC365 AE364:AE365 AC381:AC382 AE381:AE382 AC387:AC388 AE387:AE388 AC393:AC394 AE393:AE394 AC399:AC400 AE399:AE400 AC78:AC79 AE78:AE79 AC89:AC90 AE89:AE90 AC106:AC108 AE106:AE108 AE159:AE161 AC159:AC161" xr:uid="{00000000-0002-0000-29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228 K228:K231 M223 K223:K226 M216 M208 K208:K214 M203 K203:K206 M195 K195:K201 M187 K187:K193 M182 K182:K185 M177 K177:K180 M172 K172:K175 M167 K167:K170 M157 M151 M146 K146:K149 M141 K141:K144 M136 K136:K139 M131 K131:K134 M126 K126:K129 M121 K121:K124 M116 K116:K119 M111 K111:K114 M104 M99 K99:K102 M93 M87 M82 K82:K85 M76 M71 K71:K74 M66 K66:K69 M55 M50 K50:K53 M45 K45:K48 M40 K40:K43 M35 K35:K38 M30 K30:K33 M25 K25:K28 M20 K20:K23 M325 K325:K328 M234 K234:K237 M15 K15:K18 K55:K64 K93:K97 K151:K155 K216:K221 M239 K239:K242 M244 M252 K252:K255 M257 K257:K260 M262 M270 K270:K273 M275 K275:K278 M280 K280:K283 M285 K285:K288 M290 K290:K293 M295 M306 K306:K309 M311 M319 K319:K322 K311:K317 K295:K304 K262:K268 K244:K250 M330 K330:K333 M335 M345 M351 K351:K354 M356 M362 M374 K374:K377 M379 M385 M391 M397 K335:K343 K345:K349 K356:K360 K362:K372 K379:K383 K385:K389 K391:K395 K397:K401 K76:K80 K87:K91 K104:K109 K157:K165"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J231 I223:J226 I216:J221 I208:J211 I203:J206 I195:J198 I187:J190 I182:J185 I177:J180 I172:J175 I167:J170 I151:J155 I146:J149 I141:J144 I136:J139 I131:J134 I126:J129 I121:J124 I116:J119 I111:J114 I104:J109 I99:J102 I93:J97 I87:J91 I82:J85 I76:J80 I71:J74 I66:J69 I55:J58 I50:J53 I45:J48 I40:J43 I35:J38 I30:J33 I25:J28 I20:J23 I325:J328 I234:J237 I15:J18 I239:J242 I244:J247 I252:J255 I257:J260 I262:J265 I270:J273 I275:J278 I280:J283 I285:J288 I290:J293 I295:J298 I306:J309 I311:J314 I319:J322 I330:J333 I335:J339 I345:J349 I351:J354 I356:J360 I362:J366 I374:J377 I379:J383 I385:J389 I391:J395 I397:J401 I342:J342 I157:J162" xr:uid="{00000000-0002-0000-2900-000005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AB59"/>
  <sheetViews>
    <sheetView showGridLines="0" topLeftCell="E4" zoomScale="85" workbookViewId="0">
      <selection activeCell="N1" sqref="N1:N59"/>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4" width="21.7109375" style="11" hidden="1" customWidth="1"/>
    <col min="15" max="15" width="0.140625" style="11" customWidth="1"/>
    <col min="16" max="16" width="1" style="11" customWidth="1"/>
    <col min="17" max="27" width="8" style="11" customWidth="1"/>
    <col min="28" max="28" width="9.140625" style="11" hidden="1"/>
  </cols>
  <sheetData>
    <row r="1" spans="1:28" s="63" customFormat="1" ht="10.5" hidden="1" customHeight="1">
      <c r="A1" s="303"/>
      <c r="B1" s="303"/>
      <c r="C1" s="303"/>
      <c r="AB1" s="63" t="s">
        <v>14</v>
      </c>
    </row>
    <row r="2" spans="1:28" ht="10.5" hidden="1" customHeight="1">
      <c r="AB2" s="11">
        <v>0</v>
      </c>
    </row>
    <row r="3" spans="1:28" s="8" customFormat="1" ht="10.5" hidden="1" customHeight="1">
      <c r="A3" s="303"/>
      <c r="B3" s="303"/>
      <c r="C3" s="303"/>
      <c r="D3" s="63"/>
      <c r="AB3" s="8">
        <v>0</v>
      </c>
    </row>
    <row r="4" spans="1:28" ht="3" customHeight="1">
      <c r="AB4" s="11">
        <v>3</v>
      </c>
    </row>
    <row r="5" spans="1:28" ht="27.4" customHeight="1">
      <c r="F5" s="127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74"/>
      <c r="H5" s="1274"/>
      <c r="I5" s="1274"/>
      <c r="J5" s="1274"/>
      <c r="K5" s="1105"/>
      <c r="L5" s="1105"/>
      <c r="M5" s="1105"/>
      <c r="N5" s="1105"/>
      <c r="O5" s="1105"/>
      <c r="AB5" s="11">
        <v>26</v>
      </c>
    </row>
    <row r="6" spans="1:28" ht="10.5" customHeight="1">
      <c r="F6" s="1246" t="str">
        <f>IF(org=0,"Не определено",org)</f>
        <v>Сургутское городское муниципальное унитарное предприятие "Горводоканал"</v>
      </c>
      <c r="G6" s="1246"/>
      <c r="H6" s="1246"/>
      <c r="I6" s="1246"/>
      <c r="J6" s="1246"/>
      <c r="K6" s="1103"/>
      <c r="L6" s="1103"/>
      <c r="M6" s="1103"/>
      <c r="N6" s="1103"/>
      <c r="O6" s="1103"/>
      <c r="AB6" s="11">
        <v>10</v>
      </c>
    </row>
    <row r="7" spans="1:28" ht="11.45" customHeight="1">
      <c r="E7" s="10"/>
      <c r="F7" s="710"/>
      <c r="G7" s="710"/>
      <c r="H7" s="710"/>
      <c r="I7" s="710"/>
      <c r="J7" s="710"/>
      <c r="K7" s="710" t="s">
        <v>22</v>
      </c>
      <c r="L7" s="710"/>
      <c r="M7" s="710" t="s">
        <v>22</v>
      </c>
      <c r="N7" s="710" t="s">
        <v>22</v>
      </c>
      <c r="O7" s="710"/>
      <c r="P7" s="34"/>
      <c r="Q7" s="34"/>
      <c r="R7" s="34"/>
      <c r="S7" s="34"/>
      <c r="T7" s="34"/>
      <c r="U7" s="34"/>
      <c r="V7" s="34"/>
      <c r="W7" s="34"/>
      <c r="X7" s="34"/>
      <c r="Y7" s="34"/>
      <c r="Z7" s="34"/>
      <c r="AA7" s="34"/>
      <c r="AB7" s="11">
        <v>11</v>
      </c>
    </row>
    <row r="8" spans="1:28" s="68" customFormat="1" ht="4.1500000000000004" customHeight="1">
      <c r="A8" s="313"/>
      <c r="B8" s="313"/>
      <c r="C8" s="313"/>
      <c r="E8" s="104"/>
      <c r="F8" s="711"/>
      <c r="G8" s="711"/>
      <c r="H8" s="711"/>
      <c r="I8" s="711"/>
      <c r="J8" s="711"/>
      <c r="K8" s="711" t="s">
        <v>1032</v>
      </c>
      <c r="L8" s="711"/>
      <c r="M8" s="711"/>
      <c r="N8" s="711"/>
      <c r="O8" s="711"/>
      <c r="P8" s="104"/>
      <c r="Q8" s="104"/>
      <c r="R8" s="104"/>
      <c r="S8" s="104"/>
      <c r="T8" s="104"/>
      <c r="U8" s="104"/>
      <c r="V8" s="104"/>
      <c r="W8" s="104"/>
      <c r="X8" s="104"/>
      <c r="Y8" s="104"/>
      <c r="Z8" s="104"/>
      <c r="AA8" s="104"/>
      <c r="AB8" s="68">
        <v>4</v>
      </c>
    </row>
    <row r="9" spans="1:28" ht="10.5" customHeight="1">
      <c r="E9" s="10"/>
      <c r="F9" s="1485" t="s">
        <v>306</v>
      </c>
      <c r="G9" s="1486"/>
      <c r="H9" s="1486"/>
      <c r="I9" s="1486"/>
      <c r="J9" s="1486"/>
      <c r="K9" s="1106"/>
      <c r="L9" s="1106"/>
      <c r="M9" s="1106"/>
      <c r="N9" s="1106"/>
      <c r="O9" s="1106"/>
      <c r="P9" s="718"/>
      <c r="Q9" s="34"/>
      <c r="R9" s="34"/>
      <c r="S9" s="34"/>
      <c r="T9" s="34"/>
      <c r="U9" s="34"/>
      <c r="V9" s="34"/>
      <c r="W9" s="34"/>
      <c r="X9" s="34"/>
      <c r="Y9" s="34"/>
      <c r="Z9" s="34"/>
      <c r="AA9" s="34"/>
      <c r="AB9" s="11">
        <v>10</v>
      </c>
    </row>
    <row r="10" spans="1:28" ht="25.15" customHeight="1">
      <c r="E10" s="34"/>
      <c r="F10" s="1489" t="s">
        <v>88</v>
      </c>
      <c r="G10" s="1493" t="s">
        <v>1185</v>
      </c>
      <c r="H10" s="1412" t="s">
        <v>1186</v>
      </c>
      <c r="I10" s="1412"/>
      <c r="J10" s="1412"/>
      <c r="K10" s="1412" t="s">
        <v>1186</v>
      </c>
      <c r="L10" s="1412"/>
      <c r="M10" s="1412"/>
      <c r="N10" s="1412"/>
      <c r="O10" s="1412"/>
      <c r="P10" s="713"/>
      <c r="Q10" s="34"/>
      <c r="R10" s="34"/>
      <c r="S10" s="34"/>
      <c r="T10" s="34"/>
      <c r="U10" s="34"/>
      <c r="V10" s="34"/>
      <c r="W10" s="34"/>
      <c r="X10" s="34"/>
      <c r="Y10" s="34"/>
      <c r="Z10" s="34"/>
      <c r="AA10" s="34"/>
      <c r="AB10" s="11">
        <v>24</v>
      </c>
    </row>
    <row r="11" spans="1:28" ht="25.5" customHeight="1">
      <c r="E11" s="34"/>
      <c r="F11" s="1490"/>
      <c r="G11" s="1493"/>
      <c r="H11" s="1492" t="e">
        <f>INDEX(IP_MAIN_LIST_NAME_IP,MATCH(H8,IP_MAIN_LIST_IP_ID,0))&amp;" ("&amp;INDEX(IP_MAIN_START_DATE,MATCH(H8,IP_MAIN_LIST_IP_ID,0))&amp;"-"&amp;INDEX(IP_MAIN_END_DATE,MATCH(H8,IP_MAIN_LIST_IP_ID,0))&amp;")"</f>
        <v>#N/A</v>
      </c>
      <c r="I11" s="1492"/>
      <c r="J11" s="1492"/>
      <c r="K11" s="1492" t="str">
        <f>INDEX(IP_MAIN_LIST_NAME_IP,MATCH(K8,IP_MAIN_LIST_IP_ID,0))&amp;" ("&amp;INDEX(IP_MAIN_START_DATE,MATCH(K8,IP_MAIN_LIST_IP_ID,0))&amp;"-"&amp;INDEX(IP_MAIN_END_DATE,MATCH(K8,IP_MAIN_LIST_IP_ID,0))&amp;")"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L11" s="1492"/>
      <c r="M11" s="1492"/>
      <c r="N11" s="1492"/>
      <c r="O11" s="1492"/>
      <c r="P11" s="713"/>
      <c r="Q11" s="34"/>
      <c r="R11" s="34"/>
      <c r="S11" s="34"/>
      <c r="T11" s="34"/>
      <c r="U11" s="34"/>
      <c r="V11" s="34"/>
      <c r="W11" s="34"/>
      <c r="X11" s="34"/>
      <c r="Y11" s="34"/>
      <c r="Z11" s="34"/>
      <c r="AA11" s="34"/>
      <c r="AB11" s="11">
        <v>24</v>
      </c>
    </row>
    <row r="12" spans="1:28" ht="10.5" customHeight="1">
      <c r="F12" s="1491"/>
      <c r="G12" s="1493"/>
      <c r="H12" s="148" t="s">
        <v>1187</v>
      </c>
      <c r="I12" s="712"/>
      <c r="J12" s="148"/>
      <c r="K12" s="148" t="s">
        <v>1187</v>
      </c>
      <c r="L12" s="712">
        <v>2023</v>
      </c>
      <c r="M12" s="712">
        <v>2024</v>
      </c>
      <c r="N12" s="712">
        <v>2025</v>
      </c>
      <c r="O12" s="148"/>
      <c r="P12" s="714"/>
      <c r="AB12" s="11">
        <v>10</v>
      </c>
    </row>
    <row r="13" spans="1:28" ht="10.5" hidden="1" customHeight="1">
      <c r="F13" s="148">
        <v>1</v>
      </c>
      <c r="G13" s="148">
        <v>2</v>
      </c>
      <c r="H13" s="148">
        <v>3</v>
      </c>
      <c r="I13" s="148">
        <v>4</v>
      </c>
      <c r="J13" s="148">
        <v>5</v>
      </c>
      <c r="K13" s="148">
        <v>3</v>
      </c>
      <c r="L13" s="148">
        <v>4</v>
      </c>
      <c r="M13" s="148">
        <v>4</v>
      </c>
      <c r="N13" s="148">
        <v>4</v>
      </c>
      <c r="O13" s="148">
        <v>5</v>
      </c>
      <c r="P13" s="714"/>
      <c r="AB13" s="11">
        <v>0</v>
      </c>
    </row>
    <row r="14" spans="1:28" ht="11.45" customHeight="1">
      <c r="F14" s="242" t="s">
        <v>1188</v>
      </c>
      <c r="G14" s="1487" t="s">
        <v>1189</v>
      </c>
      <c r="H14" s="1487"/>
      <c r="I14" s="1487"/>
      <c r="J14" s="1487"/>
      <c r="K14" s="397"/>
      <c r="L14" s="397"/>
      <c r="M14" s="397"/>
      <c r="N14" s="397"/>
      <c r="O14" s="397"/>
      <c r="P14" s="714"/>
      <c r="AB14" s="11">
        <v>11</v>
      </c>
    </row>
    <row r="15" spans="1:28" ht="11.45" customHeight="1">
      <c r="F15" s="148">
        <v>1</v>
      </c>
      <c r="G15" s="394" t="s">
        <v>1190</v>
      </c>
      <c r="H15" s="364">
        <f t="shared" ref="H15:H36" si="0">SUM(I15:J15)</f>
        <v>0</v>
      </c>
      <c r="I15" s="364">
        <f>SUM(I16:I27)</f>
        <v>0</v>
      </c>
      <c r="J15" s="242"/>
      <c r="K15" s="364">
        <f t="shared" ref="K15:K36" si="1">SUM(L15:O15)</f>
        <v>0</v>
      </c>
      <c r="L15" s="364">
        <f>SUM(L16:L27)</f>
        <v>0</v>
      </c>
      <c r="M15" s="364">
        <f>SUM(M16:M27)</f>
        <v>0</v>
      </c>
      <c r="N15" s="364">
        <f>SUM(N16:N27)</f>
        <v>0</v>
      </c>
      <c r="O15" s="242"/>
      <c r="P15" s="714"/>
      <c r="AB15" s="11">
        <v>11</v>
      </c>
    </row>
    <row r="16" spans="1:28" ht="24" customHeight="1">
      <c r="F16" s="148" t="s">
        <v>1191</v>
      </c>
      <c r="G16" s="716" t="s">
        <v>1192</v>
      </c>
      <c r="H16" s="364">
        <f t="shared" si="0"/>
        <v>0</v>
      </c>
      <c r="I16" s="715"/>
      <c r="J16" s="242"/>
      <c r="K16" s="364">
        <f t="shared" si="1"/>
        <v>0</v>
      </c>
      <c r="L16" s="715"/>
      <c r="M16" s="715"/>
      <c r="N16" s="715"/>
      <c r="O16" s="242"/>
      <c r="P16" s="714"/>
      <c r="AB16" s="11">
        <v>23</v>
      </c>
    </row>
    <row r="17" spans="6:28" ht="24" customHeight="1">
      <c r="F17" s="148" t="s">
        <v>1193</v>
      </c>
      <c r="G17" s="716" t="s">
        <v>1194</v>
      </c>
      <c r="H17" s="364">
        <f t="shared" si="0"/>
        <v>0</v>
      </c>
      <c r="I17" s="715"/>
      <c r="J17" s="242"/>
      <c r="K17" s="364">
        <f t="shared" si="1"/>
        <v>0</v>
      </c>
      <c r="L17" s="715"/>
      <c r="M17" s="715"/>
      <c r="N17" s="715"/>
      <c r="O17" s="242"/>
      <c r="P17" s="714"/>
      <c r="AB17" s="11">
        <v>23</v>
      </c>
    </row>
    <row r="18" spans="6:28" ht="35.65" customHeight="1">
      <c r="F18" s="148" t="s">
        <v>1195</v>
      </c>
      <c r="G18" s="716" t="s">
        <v>1196</v>
      </c>
      <c r="H18" s="364">
        <f t="shared" si="0"/>
        <v>0</v>
      </c>
      <c r="I18" s="715"/>
      <c r="J18" s="242"/>
      <c r="K18" s="364">
        <f t="shared" si="1"/>
        <v>0</v>
      </c>
      <c r="L18" s="715"/>
      <c r="M18" s="715"/>
      <c r="N18" s="715"/>
      <c r="O18" s="242"/>
      <c r="P18" s="714"/>
      <c r="AB18" s="11">
        <v>34</v>
      </c>
    </row>
    <row r="19" spans="6:28" ht="35.65" customHeight="1">
      <c r="F19" s="148" t="s">
        <v>1197</v>
      </c>
      <c r="G19" s="716" t="s">
        <v>1198</v>
      </c>
      <c r="H19" s="364">
        <f t="shared" si="0"/>
        <v>0</v>
      </c>
      <c r="I19" s="715"/>
      <c r="J19" s="242"/>
      <c r="K19" s="364">
        <f t="shared" si="1"/>
        <v>0</v>
      </c>
      <c r="L19" s="715"/>
      <c r="M19" s="715"/>
      <c r="N19" s="715"/>
      <c r="O19" s="242"/>
      <c r="P19" s="714"/>
      <c r="AB19" s="11">
        <v>34</v>
      </c>
    </row>
    <row r="20" spans="6:28" ht="48.2" customHeight="1">
      <c r="F20" s="148" t="s">
        <v>1199</v>
      </c>
      <c r="G20" s="716" t="s">
        <v>1200</v>
      </c>
      <c r="H20" s="364">
        <f t="shared" si="0"/>
        <v>0</v>
      </c>
      <c r="I20" s="715"/>
      <c r="J20" s="242"/>
      <c r="K20" s="364">
        <f t="shared" si="1"/>
        <v>0</v>
      </c>
      <c r="L20" s="715"/>
      <c r="M20" s="715"/>
      <c r="N20" s="715"/>
      <c r="O20" s="242"/>
      <c r="P20" s="714"/>
      <c r="AB20" s="11">
        <v>46</v>
      </c>
    </row>
    <row r="21" spans="6:28" ht="35.65" customHeight="1">
      <c r="F21" s="148" t="s">
        <v>1201</v>
      </c>
      <c r="G21" s="716" t="s">
        <v>1202</v>
      </c>
      <c r="H21" s="364">
        <f t="shared" si="0"/>
        <v>0</v>
      </c>
      <c r="I21" s="715"/>
      <c r="J21" s="242"/>
      <c r="K21" s="364">
        <f t="shared" si="1"/>
        <v>0</v>
      </c>
      <c r="L21" s="715"/>
      <c r="M21" s="715"/>
      <c r="N21" s="715"/>
      <c r="O21" s="242"/>
      <c r="P21" s="714"/>
      <c r="AB21" s="11">
        <v>34</v>
      </c>
    </row>
    <row r="22" spans="6:28" ht="35.65" customHeight="1">
      <c r="F22" s="148" t="s">
        <v>1203</v>
      </c>
      <c r="G22" s="716" t="s">
        <v>1204</v>
      </c>
      <c r="H22" s="364">
        <f t="shared" si="0"/>
        <v>0</v>
      </c>
      <c r="I22" s="715"/>
      <c r="J22" s="242"/>
      <c r="K22" s="364">
        <f t="shared" si="1"/>
        <v>0</v>
      </c>
      <c r="L22" s="715"/>
      <c r="M22" s="715"/>
      <c r="N22" s="715"/>
      <c r="O22" s="242"/>
      <c r="P22" s="714"/>
      <c r="AB22" s="11">
        <v>34</v>
      </c>
    </row>
    <row r="23" spans="6:28" ht="24" customHeight="1">
      <c r="F23" s="148" t="s">
        <v>1205</v>
      </c>
      <c r="G23" s="716" t="s">
        <v>1206</v>
      </c>
      <c r="H23" s="364">
        <f t="shared" si="0"/>
        <v>0</v>
      </c>
      <c r="I23" s="715"/>
      <c r="J23" s="242"/>
      <c r="K23" s="364">
        <f t="shared" si="1"/>
        <v>0</v>
      </c>
      <c r="L23" s="715"/>
      <c r="M23" s="715"/>
      <c r="N23" s="715"/>
      <c r="O23" s="242"/>
      <c r="P23" s="714"/>
      <c r="AB23" s="11">
        <v>23</v>
      </c>
    </row>
    <row r="24" spans="6:28" ht="24" customHeight="1">
      <c r="F24" s="148" t="s">
        <v>1207</v>
      </c>
      <c r="G24" s="716" t="s">
        <v>1208</v>
      </c>
      <c r="H24" s="364">
        <f t="shared" si="0"/>
        <v>0</v>
      </c>
      <c r="I24" s="715"/>
      <c r="J24" s="242"/>
      <c r="K24" s="364">
        <f t="shared" si="1"/>
        <v>0</v>
      </c>
      <c r="L24" s="715"/>
      <c r="M24" s="715"/>
      <c r="N24" s="715"/>
      <c r="O24" s="242"/>
      <c r="P24" s="714"/>
      <c r="AB24" s="11">
        <v>23</v>
      </c>
    </row>
    <row r="25" spans="6:28" ht="35.65" customHeight="1">
      <c r="F25" s="148" t="s">
        <v>1209</v>
      </c>
      <c r="G25" s="716" t="s">
        <v>1210</v>
      </c>
      <c r="H25" s="364">
        <f t="shared" si="0"/>
        <v>0</v>
      </c>
      <c r="I25" s="715"/>
      <c r="J25" s="242"/>
      <c r="K25" s="364">
        <f t="shared" si="1"/>
        <v>0</v>
      </c>
      <c r="L25" s="715"/>
      <c r="M25" s="715"/>
      <c r="N25" s="715"/>
      <c r="O25" s="242"/>
      <c r="P25" s="714"/>
      <c r="AB25" s="11">
        <v>34</v>
      </c>
    </row>
    <row r="26" spans="6:28" ht="35.65" customHeight="1">
      <c r="F26" s="148" t="s">
        <v>1211</v>
      </c>
      <c r="G26" s="716" t="s">
        <v>1212</v>
      </c>
      <c r="H26" s="364">
        <f t="shared" si="0"/>
        <v>0</v>
      </c>
      <c r="I26" s="715"/>
      <c r="J26" s="242"/>
      <c r="K26" s="364">
        <f t="shared" si="1"/>
        <v>0</v>
      </c>
      <c r="L26" s="715"/>
      <c r="M26" s="715"/>
      <c r="N26" s="715"/>
      <c r="O26" s="242"/>
      <c r="P26" s="714"/>
      <c r="AB26" s="11">
        <v>34</v>
      </c>
    </row>
    <row r="27" spans="6:28" ht="11.45" customHeight="1">
      <c r="F27" s="148" t="s">
        <v>1213</v>
      </c>
      <c r="G27" s="716" t="s">
        <v>1214</v>
      </c>
      <c r="H27" s="364">
        <f t="shared" si="0"/>
        <v>0</v>
      </c>
      <c r="I27" s="715"/>
      <c r="J27" s="242"/>
      <c r="K27" s="364">
        <f t="shared" si="1"/>
        <v>0</v>
      </c>
      <c r="L27" s="715"/>
      <c r="M27" s="715"/>
      <c r="N27" s="715"/>
      <c r="O27" s="242"/>
      <c r="P27" s="714"/>
      <c r="AB27" s="11">
        <v>11</v>
      </c>
    </row>
    <row r="28" spans="6:28" ht="11.45" customHeight="1">
      <c r="F28" s="148">
        <v>2</v>
      </c>
      <c r="G28" s="394" t="s">
        <v>1215</v>
      </c>
      <c r="H28" s="364">
        <f t="shared" si="0"/>
        <v>0</v>
      </c>
      <c r="I28" s="364">
        <f>SUM(I29:I31)</f>
        <v>0</v>
      </c>
      <c r="J28" s="242"/>
      <c r="K28" s="364">
        <f t="shared" si="1"/>
        <v>0</v>
      </c>
      <c r="L28" s="364">
        <f>SUM(L29:L31)</f>
        <v>0</v>
      </c>
      <c r="M28" s="364">
        <f>SUM(M29:M31)</f>
        <v>0</v>
      </c>
      <c r="N28" s="364">
        <f>SUM(N29:N31)</f>
        <v>0</v>
      </c>
      <c r="O28" s="242"/>
      <c r="P28" s="714"/>
      <c r="AB28" s="11">
        <v>11</v>
      </c>
    </row>
    <row r="29" spans="6:28" ht="11.45" customHeight="1">
      <c r="F29" s="148" t="s">
        <v>725</v>
      </c>
      <c r="G29" s="716" t="s">
        <v>1216</v>
      </c>
      <c r="H29" s="364">
        <f t="shared" si="0"/>
        <v>0</v>
      </c>
      <c r="I29" s="715"/>
      <c r="J29" s="242"/>
      <c r="K29" s="364">
        <f t="shared" si="1"/>
        <v>0</v>
      </c>
      <c r="L29" s="715"/>
      <c r="M29" s="715"/>
      <c r="N29" s="715"/>
      <c r="O29" s="242"/>
      <c r="P29" s="714"/>
      <c r="AB29" s="11">
        <v>11</v>
      </c>
    </row>
    <row r="30" spans="6:28" ht="11.45" customHeight="1">
      <c r="F30" s="148" t="s">
        <v>313</v>
      </c>
      <c r="G30" s="716" t="s">
        <v>1217</v>
      </c>
      <c r="H30" s="364">
        <f t="shared" si="0"/>
        <v>0</v>
      </c>
      <c r="I30" s="715"/>
      <c r="J30" s="242"/>
      <c r="K30" s="364">
        <f t="shared" si="1"/>
        <v>0</v>
      </c>
      <c r="L30" s="715"/>
      <c r="M30" s="715"/>
      <c r="N30" s="715"/>
      <c r="O30" s="242"/>
      <c r="P30" s="714"/>
      <c r="AB30" s="11">
        <v>11</v>
      </c>
    </row>
    <row r="31" spans="6:28" ht="11.45" customHeight="1">
      <c r="F31" s="148" t="s">
        <v>316</v>
      </c>
      <c r="G31" s="716" t="s">
        <v>1218</v>
      </c>
      <c r="H31" s="364">
        <f t="shared" si="0"/>
        <v>0</v>
      </c>
      <c r="I31" s="715"/>
      <c r="J31" s="242"/>
      <c r="K31" s="364">
        <f t="shared" si="1"/>
        <v>0</v>
      </c>
      <c r="L31" s="715"/>
      <c r="M31" s="715"/>
      <c r="N31" s="715"/>
      <c r="O31" s="242"/>
      <c r="P31" s="714"/>
      <c r="AB31" s="11">
        <v>11</v>
      </c>
    </row>
    <row r="32" spans="6:28" ht="11.45" customHeight="1">
      <c r="F32" s="148">
        <v>3</v>
      </c>
      <c r="G32" s="394" t="s">
        <v>1219</v>
      </c>
      <c r="H32" s="364">
        <f t="shared" si="0"/>
        <v>0</v>
      </c>
      <c r="I32" s="364">
        <f>SUM(I33:I34)</f>
        <v>0</v>
      </c>
      <c r="J32" s="242"/>
      <c r="K32" s="364">
        <f t="shared" si="1"/>
        <v>0</v>
      </c>
      <c r="L32" s="364">
        <f>SUM(L33:L34)</f>
        <v>0</v>
      </c>
      <c r="M32" s="364">
        <f>SUM(M33:M34)</f>
        <v>0</v>
      </c>
      <c r="N32" s="364">
        <f>SUM(N33:N34)</f>
        <v>0</v>
      </c>
      <c r="O32" s="242"/>
      <c r="P32" s="714"/>
      <c r="AB32" s="11">
        <v>11</v>
      </c>
    </row>
    <row r="33" spans="6:28" ht="48.2" customHeight="1">
      <c r="F33" s="148" t="s">
        <v>330</v>
      </c>
      <c r="G33" s="716" t="s">
        <v>1220</v>
      </c>
      <c r="H33" s="364">
        <f t="shared" si="0"/>
        <v>0</v>
      </c>
      <c r="I33" s="715"/>
      <c r="J33" s="242"/>
      <c r="K33" s="364">
        <f t="shared" si="1"/>
        <v>0</v>
      </c>
      <c r="L33" s="715"/>
      <c r="M33" s="715"/>
      <c r="N33" s="715"/>
      <c r="O33" s="242"/>
      <c r="P33" s="714"/>
      <c r="AB33" s="11">
        <v>46</v>
      </c>
    </row>
    <row r="34" spans="6:28" ht="11.45" customHeight="1">
      <c r="F34" s="148" t="s">
        <v>338</v>
      </c>
      <c r="G34" s="716" t="s">
        <v>1221</v>
      </c>
      <c r="H34" s="364">
        <f t="shared" si="0"/>
        <v>0</v>
      </c>
      <c r="I34" s="715"/>
      <c r="J34" s="242"/>
      <c r="K34" s="364">
        <f t="shared" si="1"/>
        <v>0</v>
      </c>
      <c r="L34" s="715"/>
      <c r="M34" s="715"/>
      <c r="N34" s="715"/>
      <c r="O34" s="242"/>
      <c r="P34" s="714"/>
      <c r="AB34" s="11">
        <v>11</v>
      </c>
    </row>
    <row r="35" spans="6:28" ht="11.45" customHeight="1">
      <c r="F35" s="148">
        <v>4</v>
      </c>
      <c r="G35" s="394" t="s">
        <v>1222</v>
      </c>
      <c r="H35" s="364">
        <f t="shared" si="0"/>
        <v>0</v>
      </c>
      <c r="I35" s="715"/>
      <c r="J35" s="242"/>
      <c r="K35" s="364">
        <f t="shared" si="1"/>
        <v>0</v>
      </c>
      <c r="L35" s="715"/>
      <c r="M35" s="715"/>
      <c r="N35" s="715"/>
      <c r="O35" s="242"/>
      <c r="P35" s="714"/>
      <c r="AB35" s="11">
        <v>11</v>
      </c>
    </row>
    <row r="36" spans="6:28" ht="11.45" customHeight="1">
      <c r="F36" s="148"/>
      <c r="G36" s="397" t="s">
        <v>1223</v>
      </c>
      <c r="H36" s="364">
        <f t="shared" si="0"/>
        <v>0</v>
      </c>
      <c r="I36" s="364">
        <f>SUM(I15,I28,I32,I35)</f>
        <v>0</v>
      </c>
      <c r="J36" s="242"/>
      <c r="K36" s="364">
        <f t="shared" si="1"/>
        <v>0</v>
      </c>
      <c r="L36" s="364">
        <f>SUM(L15,L28,L32,L35)</f>
        <v>0</v>
      </c>
      <c r="M36" s="364">
        <f>SUM(M15,M28,M32,M35)</f>
        <v>0</v>
      </c>
      <c r="N36" s="364">
        <f>SUM(N15,N28,N32,N35)</f>
        <v>0</v>
      </c>
      <c r="O36" s="242"/>
      <c r="P36" s="714"/>
      <c r="AB36" s="11">
        <v>11</v>
      </c>
    </row>
    <row r="37" spans="6:28" ht="29.25" customHeight="1">
      <c r="F37" s="242" t="s">
        <v>1224</v>
      </c>
      <c r="G37" s="1488" t="s">
        <v>1225</v>
      </c>
      <c r="H37" s="1488"/>
      <c r="I37" s="1488"/>
      <c r="J37" s="1488"/>
      <c r="K37" s="510"/>
      <c r="L37" s="510"/>
      <c r="M37" s="510"/>
      <c r="N37" s="510"/>
      <c r="O37" s="510"/>
      <c r="P37" s="714"/>
      <c r="AB37" s="11">
        <v>28</v>
      </c>
    </row>
    <row r="38" spans="6:28" ht="24" customHeight="1">
      <c r="F38" s="148" t="s">
        <v>109</v>
      </c>
      <c r="G38" s="394" t="s">
        <v>1226</v>
      </c>
      <c r="H38" s="364">
        <f t="shared" ref="H38:H58" si="2">SUM(I38:J38)</f>
        <v>0</v>
      </c>
      <c r="I38" s="364">
        <f>SUM(I39,I44,I47)</f>
        <v>0</v>
      </c>
      <c r="J38" s="242"/>
      <c r="K38" s="364">
        <f t="shared" ref="K38:K58" si="3">SUM(L38:O38)</f>
        <v>0</v>
      </c>
      <c r="L38" s="364">
        <f>SUM(L39,L44,L47)</f>
        <v>0</v>
      </c>
      <c r="M38" s="364">
        <f>SUM(M39,M44,M47)</f>
        <v>0</v>
      </c>
      <c r="N38" s="364">
        <f>SUM(N39,N44,N47)</f>
        <v>0</v>
      </c>
      <c r="O38" s="242"/>
      <c r="P38" s="714"/>
      <c r="AB38" s="11">
        <v>23</v>
      </c>
    </row>
    <row r="39" spans="6:28" ht="11.45" customHeight="1">
      <c r="F39" s="148" t="s">
        <v>1191</v>
      </c>
      <c r="G39" s="716" t="s">
        <v>1190</v>
      </c>
      <c r="H39" s="364">
        <f t="shared" si="2"/>
        <v>0</v>
      </c>
      <c r="I39" s="364">
        <f>SUM(I40:I43)</f>
        <v>0</v>
      </c>
      <c r="J39" s="242"/>
      <c r="K39" s="364">
        <f t="shared" si="3"/>
        <v>0</v>
      </c>
      <c r="L39" s="364">
        <f>SUM(L40:L43)</f>
        <v>0</v>
      </c>
      <c r="M39" s="364">
        <f>SUM(M40:M43)</f>
        <v>0</v>
      </c>
      <c r="N39" s="364">
        <f>SUM(N40:N43)</f>
        <v>0</v>
      </c>
      <c r="O39" s="242"/>
      <c r="P39" s="714"/>
      <c r="AB39" s="11">
        <v>11</v>
      </c>
    </row>
    <row r="40" spans="6:28" ht="24" customHeight="1">
      <c r="F40" s="148" t="s">
        <v>1227</v>
      </c>
      <c r="G40" s="717" t="s">
        <v>1228</v>
      </c>
      <c r="H40" s="364">
        <f t="shared" si="2"/>
        <v>0</v>
      </c>
      <c r="I40" s="715"/>
      <c r="J40" s="242"/>
      <c r="K40" s="364">
        <f t="shared" si="3"/>
        <v>0</v>
      </c>
      <c r="L40" s="715"/>
      <c r="M40" s="715"/>
      <c r="N40" s="715"/>
      <c r="O40" s="242"/>
      <c r="P40" s="714"/>
      <c r="AB40" s="11">
        <v>23</v>
      </c>
    </row>
    <row r="41" spans="6:28" ht="11.45" customHeight="1">
      <c r="F41" s="148" t="s">
        <v>1229</v>
      </c>
      <c r="G41" s="717" t="s">
        <v>1230</v>
      </c>
      <c r="H41" s="364">
        <f t="shared" si="2"/>
        <v>0</v>
      </c>
      <c r="I41" s="715"/>
      <c r="J41" s="242"/>
      <c r="K41" s="364">
        <f t="shared" si="3"/>
        <v>0</v>
      </c>
      <c r="L41" s="715"/>
      <c r="M41" s="715"/>
      <c r="N41" s="715"/>
      <c r="O41" s="242"/>
      <c r="P41" s="714"/>
      <c r="AB41" s="11">
        <v>11</v>
      </c>
    </row>
    <row r="42" spans="6:28" ht="11.45" customHeight="1">
      <c r="F42" s="148" t="s">
        <v>1231</v>
      </c>
      <c r="G42" s="717" t="s">
        <v>1232</v>
      </c>
      <c r="H42" s="364">
        <f t="shared" si="2"/>
        <v>0</v>
      </c>
      <c r="I42" s="715"/>
      <c r="J42" s="242"/>
      <c r="K42" s="364">
        <f t="shared" si="3"/>
        <v>0</v>
      </c>
      <c r="L42" s="715"/>
      <c r="M42" s="715"/>
      <c r="N42" s="715"/>
      <c r="O42" s="242"/>
      <c r="P42" s="714"/>
      <c r="AB42" s="11">
        <v>11</v>
      </c>
    </row>
    <row r="43" spans="6:28" ht="35.65" customHeight="1">
      <c r="F43" s="148" t="s">
        <v>1233</v>
      </c>
      <c r="G43" s="717" t="s">
        <v>1234</v>
      </c>
      <c r="H43" s="364">
        <f t="shared" si="2"/>
        <v>0</v>
      </c>
      <c r="I43" s="715"/>
      <c r="J43" s="242"/>
      <c r="K43" s="364">
        <f t="shared" si="3"/>
        <v>0</v>
      </c>
      <c r="L43" s="715"/>
      <c r="M43" s="715"/>
      <c r="N43" s="715"/>
      <c r="O43" s="242"/>
      <c r="P43" s="714"/>
      <c r="AB43" s="11">
        <v>34</v>
      </c>
    </row>
    <row r="44" spans="6:28" ht="11.45" customHeight="1">
      <c r="F44" s="148" t="s">
        <v>1193</v>
      </c>
      <c r="G44" s="716" t="s">
        <v>1219</v>
      </c>
      <c r="H44" s="364">
        <f t="shared" si="2"/>
        <v>0</v>
      </c>
      <c r="I44" s="364">
        <f>SUM(I45:I46)</f>
        <v>0</v>
      </c>
      <c r="J44" s="242"/>
      <c r="K44" s="364">
        <f t="shared" si="3"/>
        <v>0</v>
      </c>
      <c r="L44" s="364">
        <f>SUM(L45:L46)</f>
        <v>0</v>
      </c>
      <c r="M44" s="364">
        <f>SUM(M45:M46)</f>
        <v>0</v>
      </c>
      <c r="N44" s="364">
        <f>SUM(N45:N46)</f>
        <v>0</v>
      </c>
      <c r="O44" s="242"/>
      <c r="P44" s="714"/>
      <c r="AB44" s="11">
        <v>11</v>
      </c>
    </row>
    <row r="45" spans="6:28" ht="48.2" customHeight="1">
      <c r="F45" s="148" t="s">
        <v>1235</v>
      </c>
      <c r="G45" s="717" t="s">
        <v>1220</v>
      </c>
      <c r="H45" s="364">
        <f t="shared" si="2"/>
        <v>0</v>
      </c>
      <c r="I45" s="715"/>
      <c r="J45" s="242"/>
      <c r="K45" s="364">
        <f t="shared" si="3"/>
        <v>0</v>
      </c>
      <c r="L45" s="715"/>
      <c r="M45" s="715"/>
      <c r="N45" s="715"/>
      <c r="O45" s="242"/>
      <c r="P45" s="714"/>
      <c r="AB45" s="11">
        <v>46</v>
      </c>
    </row>
    <row r="46" spans="6:28" ht="11.45" customHeight="1">
      <c r="F46" s="148" t="s">
        <v>1236</v>
      </c>
      <c r="G46" s="717" t="s">
        <v>1221</v>
      </c>
      <c r="H46" s="364">
        <f t="shared" si="2"/>
        <v>0</v>
      </c>
      <c r="I46" s="715"/>
      <c r="J46" s="242"/>
      <c r="K46" s="364">
        <f t="shared" si="3"/>
        <v>0</v>
      </c>
      <c r="L46" s="715"/>
      <c r="M46" s="715"/>
      <c r="N46" s="715"/>
      <c r="O46" s="242"/>
      <c r="P46" s="714"/>
      <c r="AB46" s="11">
        <v>11</v>
      </c>
    </row>
    <row r="47" spans="6:28" ht="11.45" customHeight="1">
      <c r="F47" s="148" t="s">
        <v>1195</v>
      </c>
      <c r="G47" s="716" t="s">
        <v>1237</v>
      </c>
      <c r="H47" s="364">
        <f t="shared" si="2"/>
        <v>0</v>
      </c>
      <c r="I47" s="715"/>
      <c r="J47" s="242"/>
      <c r="K47" s="364">
        <f t="shared" si="3"/>
        <v>0</v>
      </c>
      <c r="L47" s="715"/>
      <c r="M47" s="715"/>
      <c r="N47" s="715"/>
      <c r="O47" s="242"/>
      <c r="P47" s="714"/>
      <c r="AB47" s="11">
        <v>11</v>
      </c>
    </row>
    <row r="48" spans="6:28" ht="24" customHeight="1">
      <c r="F48" s="148" t="s">
        <v>110</v>
      </c>
      <c r="G48" s="394" t="s">
        <v>1238</v>
      </c>
      <c r="H48" s="364">
        <f t="shared" si="2"/>
        <v>0</v>
      </c>
      <c r="I48" s="364">
        <f>SUM(I49,I54,I57)</f>
        <v>0</v>
      </c>
      <c r="J48" s="242"/>
      <c r="K48" s="364">
        <f t="shared" si="3"/>
        <v>0</v>
      </c>
      <c r="L48" s="364">
        <f>SUM(L49,L54,L57)</f>
        <v>0</v>
      </c>
      <c r="M48" s="364">
        <f>SUM(M49,M54,M57)</f>
        <v>0</v>
      </c>
      <c r="N48" s="364">
        <f>SUM(N49,N54,N57)</f>
        <v>0</v>
      </c>
      <c r="O48" s="242"/>
      <c r="P48" s="714"/>
      <c r="AB48" s="11">
        <v>23</v>
      </c>
    </row>
    <row r="49" spans="1:28" ht="11.45" customHeight="1">
      <c r="F49" s="148" t="s">
        <v>725</v>
      </c>
      <c r="G49" s="716" t="s">
        <v>1190</v>
      </c>
      <c r="H49" s="364">
        <f t="shared" si="2"/>
        <v>0</v>
      </c>
      <c r="I49" s="364">
        <f>SUM(I50:I53)</f>
        <v>0</v>
      </c>
      <c r="J49" s="242"/>
      <c r="K49" s="364">
        <f t="shared" si="3"/>
        <v>0</v>
      </c>
      <c r="L49" s="364">
        <f>SUM(L50:L53)</f>
        <v>0</v>
      </c>
      <c r="M49" s="364">
        <f>SUM(M50:M53)</f>
        <v>0</v>
      </c>
      <c r="N49" s="364">
        <f>SUM(N50:N53)</f>
        <v>0</v>
      </c>
      <c r="O49" s="242"/>
      <c r="P49" s="714"/>
      <c r="AB49" s="11">
        <v>11</v>
      </c>
    </row>
    <row r="50" spans="1:28" ht="24" customHeight="1">
      <c r="F50" s="148" t="s">
        <v>728</v>
      </c>
      <c r="G50" s="717" t="s">
        <v>1228</v>
      </c>
      <c r="H50" s="364">
        <f t="shared" si="2"/>
        <v>0</v>
      </c>
      <c r="I50" s="715"/>
      <c r="J50" s="242"/>
      <c r="K50" s="364">
        <f t="shared" si="3"/>
        <v>0</v>
      </c>
      <c r="L50" s="715"/>
      <c r="M50" s="715"/>
      <c r="N50" s="715"/>
      <c r="O50" s="242"/>
      <c r="P50" s="714"/>
      <c r="AB50" s="11">
        <v>23</v>
      </c>
    </row>
    <row r="51" spans="1:28" ht="11.45" customHeight="1">
      <c r="F51" s="148" t="s">
        <v>731</v>
      </c>
      <c r="G51" s="717" t="s">
        <v>1230</v>
      </c>
      <c r="H51" s="364">
        <f t="shared" si="2"/>
        <v>0</v>
      </c>
      <c r="I51" s="715"/>
      <c r="J51" s="242"/>
      <c r="K51" s="364">
        <f t="shared" si="3"/>
        <v>0</v>
      </c>
      <c r="L51" s="715"/>
      <c r="M51" s="715"/>
      <c r="N51" s="715"/>
      <c r="O51" s="242"/>
      <c r="P51" s="714"/>
      <c r="AB51" s="11">
        <v>11</v>
      </c>
    </row>
    <row r="52" spans="1:28" ht="11.45" customHeight="1">
      <c r="F52" s="148" t="s">
        <v>1239</v>
      </c>
      <c r="G52" s="717" t="s">
        <v>1232</v>
      </c>
      <c r="H52" s="364">
        <f t="shared" si="2"/>
        <v>0</v>
      </c>
      <c r="I52" s="715"/>
      <c r="J52" s="242"/>
      <c r="K52" s="364">
        <f t="shared" si="3"/>
        <v>0</v>
      </c>
      <c r="L52" s="715"/>
      <c r="M52" s="715"/>
      <c r="N52" s="715"/>
      <c r="O52" s="242"/>
      <c r="P52" s="714"/>
      <c r="AB52" s="11">
        <v>11</v>
      </c>
    </row>
    <row r="53" spans="1:28" ht="35.65" customHeight="1">
      <c r="F53" s="148" t="s">
        <v>1240</v>
      </c>
      <c r="G53" s="717" t="s">
        <v>1234</v>
      </c>
      <c r="H53" s="364">
        <f t="shared" si="2"/>
        <v>0</v>
      </c>
      <c r="I53" s="715"/>
      <c r="J53" s="242"/>
      <c r="K53" s="364">
        <f t="shared" si="3"/>
        <v>0</v>
      </c>
      <c r="L53" s="715"/>
      <c r="M53" s="715"/>
      <c r="N53" s="715"/>
      <c r="O53" s="242"/>
      <c r="P53" s="714"/>
      <c r="AB53" s="11">
        <v>34</v>
      </c>
    </row>
    <row r="54" spans="1:28" ht="11.45" customHeight="1">
      <c r="F54" s="148" t="s">
        <v>313</v>
      </c>
      <c r="G54" s="716" t="s">
        <v>1219</v>
      </c>
      <c r="H54" s="364">
        <f t="shared" si="2"/>
        <v>0</v>
      </c>
      <c r="I54" s="364">
        <f>SUM(I55:I56)</f>
        <v>0</v>
      </c>
      <c r="J54" s="242"/>
      <c r="K54" s="364">
        <f t="shared" si="3"/>
        <v>0</v>
      </c>
      <c r="L54" s="364">
        <f>SUM(L55:L56)</f>
        <v>0</v>
      </c>
      <c r="M54" s="364">
        <f>SUM(M55:M56)</f>
        <v>0</v>
      </c>
      <c r="N54" s="364">
        <f>SUM(N55:N56)</f>
        <v>0</v>
      </c>
      <c r="O54" s="242"/>
      <c r="P54" s="714"/>
      <c r="AB54" s="11">
        <v>11</v>
      </c>
    </row>
    <row r="55" spans="1:28" ht="48.2" customHeight="1">
      <c r="F55" s="148" t="s">
        <v>735</v>
      </c>
      <c r="G55" s="717" t="s">
        <v>1220</v>
      </c>
      <c r="H55" s="364">
        <f t="shared" si="2"/>
        <v>0</v>
      </c>
      <c r="I55" s="715"/>
      <c r="J55" s="242"/>
      <c r="K55" s="364">
        <f t="shared" si="3"/>
        <v>0</v>
      </c>
      <c r="L55" s="715"/>
      <c r="M55" s="715"/>
      <c r="N55" s="715"/>
      <c r="O55" s="242"/>
      <c r="P55" s="714"/>
      <c r="AB55" s="11">
        <v>46</v>
      </c>
    </row>
    <row r="56" spans="1:28" ht="11.45" customHeight="1">
      <c r="F56" s="148" t="s">
        <v>737</v>
      </c>
      <c r="G56" s="717" t="s">
        <v>1221</v>
      </c>
      <c r="H56" s="364">
        <f t="shared" si="2"/>
        <v>0</v>
      </c>
      <c r="I56" s="715"/>
      <c r="J56" s="242"/>
      <c r="K56" s="364">
        <f t="shared" si="3"/>
        <v>0</v>
      </c>
      <c r="L56" s="715"/>
      <c r="M56" s="715"/>
      <c r="N56" s="715"/>
      <c r="O56" s="242"/>
      <c r="P56" s="714"/>
      <c r="AB56" s="11">
        <v>11</v>
      </c>
    </row>
    <row r="57" spans="1:28" ht="11.45" customHeight="1">
      <c r="F57" s="148" t="s">
        <v>316</v>
      </c>
      <c r="G57" s="716" t="s">
        <v>1237</v>
      </c>
      <c r="H57" s="364">
        <f t="shared" si="2"/>
        <v>0</v>
      </c>
      <c r="I57" s="715"/>
      <c r="J57" s="242"/>
      <c r="K57" s="364">
        <f t="shared" si="3"/>
        <v>0</v>
      </c>
      <c r="L57" s="715"/>
      <c r="M57" s="715"/>
      <c r="N57" s="715"/>
      <c r="O57" s="242"/>
      <c r="P57" s="714"/>
      <c r="AB57" s="11">
        <v>11</v>
      </c>
    </row>
    <row r="58" spans="1:28" ht="11.45" customHeight="1">
      <c r="F58" s="148"/>
      <c r="G58" s="510" t="s">
        <v>1223</v>
      </c>
      <c r="H58" s="364">
        <f t="shared" si="2"/>
        <v>0</v>
      </c>
      <c r="I58" s="364">
        <f>SUM(I38,I48)</f>
        <v>0</v>
      </c>
      <c r="J58" s="242"/>
      <c r="K58" s="364">
        <f t="shared" si="3"/>
        <v>0</v>
      </c>
      <c r="L58" s="364">
        <f>SUM(L38,L48)</f>
        <v>0</v>
      </c>
      <c r="M58" s="364">
        <f>SUM(M38,M48)</f>
        <v>0</v>
      </c>
      <c r="N58" s="364">
        <f>SUM(N38,N48)</f>
        <v>0</v>
      </c>
      <c r="O58" s="242"/>
      <c r="P58" s="714"/>
      <c r="AB58" s="11">
        <v>11</v>
      </c>
    </row>
    <row r="59" spans="1:28" ht="10.5" hidden="1" customHeight="1">
      <c r="A59" s="303" t="s">
        <v>82</v>
      </c>
      <c r="B59" s="303">
        <v>0</v>
      </c>
      <c r="C59" s="303">
        <v>0</v>
      </c>
      <c r="D59" s="63">
        <v>0</v>
      </c>
      <c r="E59" s="11">
        <v>3</v>
      </c>
      <c r="F59" s="11">
        <v>6</v>
      </c>
      <c r="G59" s="11">
        <v>60</v>
      </c>
      <c r="H59" s="11">
        <v>0</v>
      </c>
      <c r="I59" s="11">
        <v>0</v>
      </c>
      <c r="J59" s="11">
        <v>0</v>
      </c>
      <c r="K59" s="11">
        <v>0</v>
      </c>
      <c r="L59" s="11">
        <v>0</v>
      </c>
      <c r="M59" s="11">
        <v>0</v>
      </c>
      <c r="N59" s="11">
        <v>0</v>
      </c>
      <c r="O59" s="11">
        <v>0</v>
      </c>
      <c r="P59" s="11">
        <v>1</v>
      </c>
      <c r="Q59" s="11">
        <v>8</v>
      </c>
      <c r="R59" s="11">
        <v>8</v>
      </c>
      <c r="S59" s="11">
        <v>8</v>
      </c>
      <c r="T59" s="11">
        <v>8</v>
      </c>
      <c r="U59" s="11">
        <v>8</v>
      </c>
      <c r="V59" s="11">
        <v>8</v>
      </c>
      <c r="W59" s="11">
        <v>8</v>
      </c>
      <c r="X59" s="11">
        <v>8</v>
      </c>
      <c r="Y59" s="11">
        <v>8</v>
      </c>
      <c r="Z59" s="11">
        <v>8</v>
      </c>
      <c r="AA59" s="11">
        <v>8</v>
      </c>
      <c r="AB59" s="11">
        <v>10</v>
      </c>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9"/>
  <sheetViews>
    <sheetView showGridLines="0" topLeftCell="E4" zoomScale="90" workbookViewId="0"/>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hidden="1" customWidth="1"/>
    <col min="29" max="71" width="0.85546875" style="535" hidden="1" customWidth="1"/>
    <col min="72" max="79" width="21.7109375" style="535" customWidth="1"/>
    <col min="80" max="81" width="29.140625" style="535" customWidth="1"/>
    <col min="82" max="89" width="21.7109375" style="535" customWidth="1"/>
    <col min="90" max="102" width="0.7109375" style="535"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09"/>
      <c r="E5" s="1010"/>
      <c r="F5" s="151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c r="AR5" s="1209"/>
      <c r="AS5" s="1209"/>
      <c r="AT5" s="1209"/>
      <c r="AU5" s="1209"/>
      <c r="AV5" s="1209"/>
      <c r="AW5" s="1209"/>
      <c r="AX5" s="1209"/>
      <c r="AY5" s="1209"/>
      <c r="AZ5" s="1209"/>
      <c r="BA5" s="1209"/>
      <c r="BB5" s="1209"/>
      <c r="BC5" s="1209"/>
      <c r="BD5" s="1209"/>
      <c r="BE5" s="1209"/>
      <c r="BF5" s="1209"/>
      <c r="BG5" s="1209"/>
      <c r="BH5" s="1209"/>
      <c r="BI5" s="1209"/>
      <c r="BJ5" s="1209"/>
      <c r="BK5" s="1209"/>
      <c r="BL5" s="1209"/>
      <c r="BM5" s="1209"/>
      <c r="BN5" s="1209"/>
      <c r="BO5" s="1209"/>
      <c r="BP5" s="1209"/>
      <c r="BQ5" s="1209"/>
      <c r="BR5" s="1209"/>
      <c r="BS5" s="1209"/>
      <c r="GC5" s="304">
        <v>26</v>
      </c>
    </row>
    <row r="6" spans="2:185" s="55" customFormat="1" ht="18.75" customHeight="1">
      <c r="B6" s="355"/>
      <c r="E6" s="495"/>
      <c r="F6" s="1268" t="str">
        <f>IF(org=0,"Не определено",org)</f>
        <v>Сургутское городское муниципальное унитарное предприятие "Горводоканал"</v>
      </c>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69"/>
      <c r="BK6" s="1269"/>
      <c r="BL6" s="1269"/>
      <c r="BM6" s="1269"/>
      <c r="BN6" s="1269"/>
      <c r="BO6" s="1269"/>
      <c r="BP6" s="1269"/>
      <c r="BQ6" s="1269"/>
      <c r="BR6" s="1269"/>
      <c r="BS6" s="1269"/>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503" t="s">
        <v>1241</v>
      </c>
      <c r="P8" s="1504"/>
      <c r="Q8" s="1504"/>
      <c r="R8" s="1504"/>
      <c r="S8" s="1504"/>
      <c r="T8" s="1504"/>
      <c r="U8" s="1504"/>
      <c r="V8" s="1504"/>
      <c r="W8" s="1504"/>
      <c r="X8" s="1504"/>
      <c r="Y8" s="1504"/>
      <c r="Z8" s="1504"/>
      <c r="AA8" s="1504"/>
      <c r="AB8" s="1504"/>
      <c r="AC8" s="1504"/>
      <c r="AD8" s="1504"/>
      <c r="AE8" s="1504"/>
      <c r="AF8" s="1504"/>
      <c r="AG8" s="1504"/>
      <c r="AH8" s="1504"/>
      <c r="AI8" s="1504"/>
      <c r="AJ8" s="1504"/>
      <c r="AK8" s="1504"/>
      <c r="AL8" s="1504"/>
      <c r="AM8" s="1504"/>
      <c r="AN8" s="1504"/>
      <c r="AO8" s="1504"/>
      <c r="AP8" s="1504"/>
      <c r="AQ8" s="1504"/>
      <c r="AR8" s="1504"/>
      <c r="AS8" s="1504"/>
      <c r="AT8" s="1504"/>
      <c r="AU8" s="1504"/>
      <c r="AV8" s="1504"/>
      <c r="AW8" s="1504"/>
      <c r="AX8" s="1504"/>
      <c r="AY8" s="1504"/>
      <c r="AZ8" s="1504"/>
      <c r="BA8" s="1504"/>
      <c r="BB8" s="1504"/>
      <c r="BC8" s="1504"/>
      <c r="BD8" s="1504"/>
      <c r="BE8" s="1504"/>
      <c r="BF8" s="1504"/>
      <c r="BG8" s="1504"/>
      <c r="BH8" s="1504"/>
      <c r="BI8" s="1504"/>
      <c r="BJ8" s="1504"/>
      <c r="BK8" s="1504"/>
      <c r="BL8" s="1504"/>
      <c r="BM8" s="1504"/>
      <c r="BN8" s="1504"/>
      <c r="BO8" s="1504"/>
      <c r="BP8" s="1504"/>
      <c r="BQ8" s="1504"/>
      <c r="BR8" s="1504"/>
      <c r="BS8" s="1505"/>
      <c r="BT8" s="1506"/>
      <c r="BU8" s="1507"/>
      <c r="BV8" s="1507"/>
      <c r="BW8" s="1507"/>
      <c r="BX8" s="1507"/>
      <c r="BY8" s="1507"/>
      <c r="BZ8" s="1507"/>
      <c r="CA8" s="1507"/>
      <c r="CB8" s="1507"/>
      <c r="CC8" s="1507"/>
      <c r="CD8" s="1507"/>
      <c r="CE8" s="1507"/>
      <c r="CF8" s="1507"/>
      <c r="CG8" s="1507"/>
      <c r="CH8" s="1507"/>
      <c r="CI8" s="1507"/>
      <c r="CJ8" s="1507"/>
      <c r="CK8" s="1507"/>
      <c r="CL8" s="1507"/>
      <c r="CM8" s="1507"/>
      <c r="CN8" s="1507"/>
      <c r="CO8" s="1507"/>
      <c r="CP8" s="1507"/>
      <c r="CQ8" s="1507"/>
      <c r="CR8" s="1507"/>
      <c r="CS8" s="1507"/>
      <c r="CT8" s="1507"/>
      <c r="CU8" s="1507"/>
      <c r="CV8" s="1507"/>
      <c r="CW8" s="1507"/>
      <c r="CX8" s="1508"/>
      <c r="CY8" s="1509"/>
      <c r="CZ8" s="1510"/>
      <c r="DA8" s="1510"/>
      <c r="DB8" s="1510"/>
      <c r="DC8" s="1510"/>
      <c r="DD8" s="1510"/>
      <c r="DE8" s="1510"/>
      <c r="DF8" s="1510"/>
      <c r="DG8" s="1510"/>
      <c r="DH8" s="1510"/>
      <c r="DI8" s="1510"/>
      <c r="DJ8" s="1510"/>
      <c r="DK8" s="1510"/>
      <c r="DL8" s="1510"/>
      <c r="DM8" s="1510"/>
      <c r="DN8" s="1510"/>
      <c r="DO8" s="1510"/>
      <c r="DP8" s="1510"/>
      <c r="DQ8" s="1510"/>
      <c r="DR8" s="1510"/>
      <c r="DS8" s="1510"/>
      <c r="DT8" s="1510"/>
      <c r="DU8" s="1510"/>
      <c r="DV8" s="1510"/>
      <c r="DW8" s="1510"/>
      <c r="DX8" s="1511"/>
      <c r="DY8" s="1497" t="s">
        <v>1242</v>
      </c>
      <c r="DZ8" s="1498"/>
      <c r="EA8" s="1498"/>
      <c r="EB8" s="1498"/>
      <c r="EC8" s="1498"/>
      <c r="ED8" s="1498"/>
      <c r="EE8" s="1498"/>
      <c r="EF8" s="1498"/>
      <c r="EG8" s="1498"/>
      <c r="EH8" s="1498"/>
      <c r="EI8" s="1498"/>
      <c r="EJ8" s="1498"/>
      <c r="EK8" s="1498"/>
      <c r="EL8" s="1498"/>
      <c r="EM8" s="1498"/>
      <c r="EN8" s="1498"/>
      <c r="EO8" s="1498"/>
      <c r="EP8" s="1498"/>
      <c r="EQ8" s="1498"/>
      <c r="ER8" s="1498"/>
      <c r="ES8" s="1498"/>
      <c r="ET8" s="1498"/>
      <c r="EU8" s="1498"/>
      <c r="EV8" s="1498"/>
      <c r="EW8" s="1498"/>
      <c r="EX8" s="1498"/>
      <c r="EY8" s="1498"/>
      <c r="EZ8" s="1498"/>
      <c r="FA8" s="1498"/>
      <c r="FB8" s="1498"/>
      <c r="FC8" s="1498"/>
      <c r="FD8" s="1498"/>
      <c r="FE8" s="1498"/>
      <c r="FF8" s="1498"/>
      <c r="FG8" s="1498"/>
      <c r="FH8" s="1498"/>
      <c r="FI8" s="1498"/>
      <c r="FJ8" s="1498"/>
      <c r="FK8" s="1498"/>
      <c r="FL8" s="1498"/>
      <c r="FM8" s="1498"/>
      <c r="FN8" s="1498"/>
      <c r="FO8" s="1498"/>
      <c r="FP8" s="1498"/>
      <c r="FQ8" s="1498"/>
      <c r="FR8" s="1498"/>
      <c r="FS8" s="1498"/>
      <c r="FT8" s="1498"/>
      <c r="FU8" s="1498"/>
      <c r="FV8" s="1498"/>
      <c r="FW8" s="1499"/>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500"/>
      <c r="FX9" s="55"/>
      <c r="GC9" s="537">
        <v>0</v>
      </c>
    </row>
    <row r="10" spans="2:185" s="537" customFormat="1" ht="11.45" customHeight="1">
      <c r="B10" s="538"/>
      <c r="F10" s="1413" t="s">
        <v>306</v>
      </c>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513"/>
      <c r="AM10" s="1513"/>
      <c r="AN10" s="1513"/>
      <c r="AO10" s="1513"/>
      <c r="AP10" s="1513"/>
      <c r="AQ10" s="1513"/>
      <c r="AR10" s="1513"/>
      <c r="AS10" s="1513"/>
      <c r="AT10" s="1513"/>
      <c r="AU10" s="1513"/>
      <c r="AV10" s="1513"/>
      <c r="AW10" s="1513"/>
      <c r="AX10" s="1513"/>
      <c r="AY10" s="1513"/>
      <c r="AZ10" s="1513"/>
      <c r="BA10" s="1513"/>
      <c r="BB10" s="1513"/>
      <c r="BC10" s="1513"/>
      <c r="BD10" s="1513"/>
      <c r="BE10" s="1513"/>
      <c r="BF10" s="1513"/>
      <c r="BG10" s="1513"/>
      <c r="BH10" s="1513"/>
      <c r="BI10" s="1513"/>
      <c r="BJ10" s="1513"/>
      <c r="BK10" s="1513"/>
      <c r="BL10" s="1513"/>
      <c r="BM10" s="1513"/>
      <c r="BN10" s="1513"/>
      <c r="BO10" s="1513"/>
      <c r="BP10" s="1513"/>
      <c r="BQ10" s="1513"/>
      <c r="BR10" s="1513"/>
      <c r="BS10" s="1513"/>
      <c r="BT10" s="1513"/>
      <c r="BU10" s="1513"/>
      <c r="BV10" s="1513"/>
      <c r="BW10" s="1513"/>
      <c r="BX10" s="1513"/>
      <c r="BY10" s="1513"/>
      <c r="BZ10" s="1513"/>
      <c r="CA10" s="1513"/>
      <c r="CB10" s="1513"/>
      <c r="CC10" s="1513"/>
      <c r="CD10" s="1513"/>
      <c r="CE10" s="1513"/>
      <c r="CF10" s="1513"/>
      <c r="CG10" s="1513"/>
      <c r="CH10" s="1513"/>
      <c r="CI10" s="1513"/>
      <c r="CJ10" s="1513"/>
      <c r="CK10" s="1513"/>
      <c r="CL10" s="1513"/>
      <c r="CM10" s="1513"/>
      <c r="CN10" s="1513"/>
      <c r="CO10" s="1513"/>
      <c r="CP10" s="1513"/>
      <c r="CQ10" s="1513"/>
      <c r="CR10" s="1513"/>
      <c r="CS10" s="1513"/>
      <c r="CT10" s="1513"/>
      <c r="CU10" s="1513"/>
      <c r="CV10" s="1513"/>
      <c r="CW10" s="1513"/>
      <c r="CX10" s="1513"/>
      <c r="CY10" s="1513"/>
      <c r="CZ10" s="1513"/>
      <c r="DA10" s="1513"/>
      <c r="DB10" s="1513"/>
      <c r="DC10" s="1513"/>
      <c r="DD10" s="1513"/>
      <c r="DE10" s="1513"/>
      <c r="DF10" s="1513"/>
      <c r="DG10" s="1513"/>
      <c r="DH10" s="1513"/>
      <c r="DI10" s="1513"/>
      <c r="DJ10" s="1513"/>
      <c r="DK10" s="1513"/>
      <c r="DL10" s="1513"/>
      <c r="DM10" s="1513"/>
      <c r="DN10" s="1513"/>
      <c r="DO10" s="1513"/>
      <c r="DP10" s="1513"/>
      <c r="DQ10" s="1513"/>
      <c r="DR10" s="1513"/>
      <c r="DS10" s="1513"/>
      <c r="DT10" s="1513"/>
      <c r="DU10" s="1513"/>
      <c r="DV10" s="1513"/>
      <c r="DW10" s="1513"/>
      <c r="DX10" s="1513"/>
      <c r="DY10" s="1513"/>
      <c r="DZ10" s="1513"/>
      <c r="EA10" s="1513"/>
      <c r="EB10" s="1513"/>
      <c r="EC10" s="1513"/>
      <c r="ED10" s="1513"/>
      <c r="EE10" s="1513"/>
      <c r="EF10" s="1513"/>
      <c r="EG10" s="1513"/>
      <c r="EH10" s="1513"/>
      <c r="EI10" s="1513"/>
      <c r="EJ10" s="1513"/>
      <c r="EK10" s="1513"/>
      <c r="EL10" s="1513"/>
      <c r="EM10" s="1513"/>
      <c r="EN10" s="1513"/>
      <c r="EO10" s="1513"/>
      <c r="EP10" s="1513"/>
      <c r="EQ10" s="1513"/>
      <c r="ER10" s="1513"/>
      <c r="ES10" s="1513"/>
      <c r="ET10" s="1513"/>
      <c r="EU10" s="1513"/>
      <c r="EV10" s="1513"/>
      <c r="EW10" s="1513"/>
      <c r="EX10" s="1513"/>
      <c r="EY10" s="1513"/>
      <c r="EZ10" s="1513"/>
      <c r="FA10" s="1513"/>
      <c r="FB10" s="1513"/>
      <c r="FC10" s="1513"/>
      <c r="FD10" s="1513"/>
      <c r="FE10" s="1513"/>
      <c r="FF10" s="1513"/>
      <c r="FG10" s="1513"/>
      <c r="FH10" s="1513"/>
      <c r="FI10" s="1513"/>
      <c r="FJ10" s="1513"/>
      <c r="FK10" s="1513"/>
      <c r="FL10" s="1513"/>
      <c r="FM10" s="1513"/>
      <c r="FN10" s="1513"/>
      <c r="FO10" s="1513"/>
      <c r="FP10" s="1513"/>
      <c r="FQ10" s="1513"/>
      <c r="FR10" s="1513"/>
      <c r="FS10" s="1513"/>
      <c r="FT10" s="1513"/>
      <c r="FU10" s="1513"/>
      <c r="FV10" s="1442"/>
      <c r="FW10" s="1500"/>
      <c r="FX10" s="55"/>
      <c r="GC10" s="537">
        <v>11</v>
      </c>
    </row>
    <row r="11" spans="2:185" ht="12.75" customHeight="1">
      <c r="E11" s="540"/>
      <c r="F11" s="1250" t="s">
        <v>88</v>
      </c>
      <c r="G11" s="1250" t="s">
        <v>1243</v>
      </c>
      <c r="H11" s="1250" t="s">
        <v>1244</v>
      </c>
      <c r="I11" s="1250" t="s">
        <v>1245</v>
      </c>
      <c r="J11" s="1512"/>
      <c r="K11" s="1512"/>
      <c r="L11" s="1512"/>
      <c r="M11" s="1512"/>
      <c r="N11" s="1512"/>
      <c r="O11" s="1254" t="s">
        <v>1246</v>
      </c>
      <c r="P11" s="1254"/>
      <c r="Q11" s="1254"/>
      <c r="R11" s="1254"/>
      <c r="S11" s="1254"/>
      <c r="T11" s="1254"/>
      <c r="U11" s="1254"/>
      <c r="V11" s="1254"/>
      <c r="W11" s="1254"/>
      <c r="X11" s="1254"/>
      <c r="Y11" s="1254"/>
      <c r="Z11" s="1254"/>
      <c r="AA11" s="1254"/>
      <c r="AB11" s="1254"/>
      <c r="AC11" s="1495"/>
      <c r="AD11" s="1495"/>
      <c r="AE11" s="1495"/>
      <c r="AF11" s="1495"/>
      <c r="AG11" s="1495"/>
      <c r="AH11" s="1495"/>
      <c r="AI11" s="1495"/>
      <c r="AJ11" s="1495"/>
      <c r="AK11" s="1495"/>
      <c r="AL11" s="1495"/>
      <c r="AM11" s="1495"/>
      <c r="AN11" s="1495"/>
      <c r="AO11" s="1495"/>
      <c r="AP11" s="1495"/>
      <c r="AQ11" s="1495"/>
      <c r="AR11" s="1495"/>
      <c r="AS11" s="1495"/>
      <c r="AT11" s="1495"/>
      <c r="AU11" s="1495"/>
      <c r="AV11" s="1495"/>
      <c r="AW11" s="1495"/>
      <c r="AX11" s="1495"/>
      <c r="AY11" s="1495"/>
      <c r="AZ11" s="1495"/>
      <c r="BA11" s="1495"/>
      <c r="BB11" s="1495"/>
      <c r="BC11" s="1495"/>
      <c r="BD11" s="1495"/>
      <c r="BE11" s="1495"/>
      <c r="BF11" s="1495"/>
      <c r="BG11" s="1495"/>
      <c r="BH11" s="1495"/>
      <c r="BI11" s="1495"/>
      <c r="BJ11" s="1495"/>
      <c r="BK11" s="1495"/>
      <c r="BL11" s="1495"/>
      <c r="BM11" s="1495"/>
      <c r="BN11" s="1495"/>
      <c r="BO11" s="1495"/>
      <c r="BP11" s="1495"/>
      <c r="BQ11" s="1495"/>
      <c r="BR11" s="1495"/>
      <c r="BS11" s="1496"/>
      <c r="BT11" s="1400" t="s">
        <v>1246</v>
      </c>
      <c r="BU11" s="1401"/>
      <c r="BV11" s="1401"/>
      <c r="BW11" s="1401"/>
      <c r="BX11" s="1401"/>
      <c r="BY11" s="1401"/>
      <c r="BZ11" s="1401"/>
      <c r="CA11" s="1401"/>
      <c r="CB11" s="1401"/>
      <c r="CC11" s="1401"/>
      <c r="CD11" s="1401"/>
      <c r="CE11" s="1401"/>
      <c r="CF11" s="1401"/>
      <c r="CG11" s="1401"/>
      <c r="CH11" s="1401"/>
      <c r="CI11" s="1401"/>
      <c r="CJ11" s="1401"/>
      <c r="CK11" s="1494"/>
      <c r="CL11" s="1502"/>
      <c r="CM11" s="1495"/>
      <c r="CN11" s="1495"/>
      <c r="CO11" s="1495"/>
      <c r="CP11" s="1495"/>
      <c r="CQ11" s="1495"/>
      <c r="CR11" s="1495"/>
      <c r="CS11" s="1495"/>
      <c r="CT11" s="1495"/>
      <c r="CU11" s="1495"/>
      <c r="CV11" s="1495"/>
      <c r="CW11" s="1495"/>
      <c r="CX11" s="1496"/>
      <c r="CY11" s="1400" t="s">
        <v>1246</v>
      </c>
      <c r="CZ11" s="1401"/>
      <c r="DA11" s="1401"/>
      <c r="DB11" s="1401"/>
      <c r="DC11" s="1401"/>
      <c r="DD11" s="1401"/>
      <c r="DE11" s="1401"/>
      <c r="DF11" s="1401"/>
      <c r="DG11" s="1401"/>
      <c r="DH11" s="1401"/>
      <c r="DI11" s="1401"/>
      <c r="DJ11" s="1494"/>
      <c r="DK11" s="1502"/>
      <c r="DL11" s="1495"/>
      <c r="DM11" s="1495"/>
      <c r="DN11" s="1495"/>
      <c r="DO11" s="1495"/>
      <c r="DP11" s="1495"/>
      <c r="DQ11" s="1495"/>
      <c r="DR11" s="1495"/>
      <c r="DS11" s="1495"/>
      <c r="DT11" s="1495"/>
      <c r="DU11" s="1495"/>
      <c r="DV11" s="1495"/>
      <c r="DW11" s="1495"/>
      <c r="DX11" s="1495"/>
      <c r="DY11" s="1495"/>
      <c r="DZ11" s="1495"/>
      <c r="EA11" s="1495"/>
      <c r="EB11" s="1495"/>
      <c r="EC11" s="1495"/>
      <c r="ED11" s="1495"/>
      <c r="EE11" s="1495"/>
      <c r="EF11" s="1495"/>
      <c r="EG11" s="1495"/>
      <c r="EH11" s="1495"/>
      <c r="EI11" s="1495"/>
      <c r="EJ11" s="1495"/>
      <c r="EK11" s="1495"/>
      <c r="EL11" s="1495"/>
      <c r="EM11" s="1495"/>
      <c r="EN11" s="1495"/>
      <c r="EO11" s="1495"/>
      <c r="EP11" s="1495"/>
      <c r="EQ11" s="1495"/>
      <c r="ER11" s="1495"/>
      <c r="ES11" s="1495"/>
      <c r="ET11" s="1495"/>
      <c r="EU11" s="1495"/>
      <c r="EV11" s="1495"/>
      <c r="EW11" s="1495"/>
      <c r="EX11" s="1495"/>
      <c r="EY11" s="1495"/>
      <c r="EZ11" s="1495"/>
      <c r="FA11" s="1495"/>
      <c r="FB11" s="1495"/>
      <c r="FC11" s="1495"/>
      <c r="FD11" s="1495"/>
      <c r="FE11" s="1495"/>
      <c r="FF11" s="1495"/>
      <c r="FG11" s="1495"/>
      <c r="FH11" s="1495"/>
      <c r="FI11" s="1495"/>
      <c r="FJ11" s="1495"/>
      <c r="FK11" s="1495"/>
      <c r="FL11" s="1495"/>
      <c r="FM11" s="1495"/>
      <c r="FN11" s="1495"/>
      <c r="FO11" s="1495"/>
      <c r="FP11" s="1495"/>
      <c r="FQ11" s="1495"/>
      <c r="FR11" s="1495"/>
      <c r="FS11" s="1495"/>
      <c r="FT11" s="1495"/>
      <c r="FU11" s="1495"/>
      <c r="FV11" s="1495"/>
      <c r="FW11" s="1500"/>
      <c r="FX11" s="33"/>
      <c r="GC11" s="535">
        <v>12</v>
      </c>
    </row>
    <row r="12" spans="2:185" ht="12.75" customHeight="1">
      <c r="D12" s="57"/>
      <c r="E12" s="540"/>
      <c r="F12" s="1250"/>
      <c r="G12" s="1250"/>
      <c r="H12" s="1250"/>
      <c r="I12" s="1250"/>
      <c r="J12" s="1512"/>
      <c r="K12" s="1512"/>
      <c r="L12" s="1512"/>
      <c r="M12" s="1512"/>
      <c r="N12" s="1512"/>
      <c r="O12" s="1254" t="s">
        <v>1247</v>
      </c>
      <c r="P12" s="1254"/>
      <c r="Q12" s="1254"/>
      <c r="R12" s="1254"/>
      <c r="S12" s="1254" t="s">
        <v>1248</v>
      </c>
      <c r="T12" s="1254"/>
      <c r="U12" s="1254"/>
      <c r="V12" s="1254"/>
      <c r="W12" s="1254"/>
      <c r="X12" s="1254"/>
      <c r="Y12" s="1254"/>
      <c r="Z12" s="1254"/>
      <c r="AA12" s="1254"/>
      <c r="AB12" s="1254"/>
      <c r="AC12" s="1495"/>
      <c r="AD12" s="1495"/>
      <c r="AE12" s="1495"/>
      <c r="AF12" s="1495"/>
      <c r="AG12" s="1495"/>
      <c r="AH12" s="1495"/>
      <c r="AI12" s="1495"/>
      <c r="AJ12" s="1495"/>
      <c r="AK12" s="1495"/>
      <c r="AL12" s="1495"/>
      <c r="AM12" s="1495"/>
      <c r="AN12" s="1495"/>
      <c r="AO12" s="1495"/>
      <c r="AP12" s="1495"/>
      <c r="AQ12" s="1495"/>
      <c r="AR12" s="1495"/>
      <c r="AS12" s="1495"/>
      <c r="AT12" s="1495"/>
      <c r="AU12" s="1495"/>
      <c r="AV12" s="1495"/>
      <c r="AW12" s="1495"/>
      <c r="AX12" s="1495"/>
      <c r="AY12" s="1495"/>
      <c r="AZ12" s="1495"/>
      <c r="BA12" s="1495"/>
      <c r="BB12" s="1495"/>
      <c r="BC12" s="1495"/>
      <c r="BD12" s="1495"/>
      <c r="BE12" s="1495"/>
      <c r="BF12" s="1495"/>
      <c r="BG12" s="1495"/>
      <c r="BH12" s="1495"/>
      <c r="BI12" s="1495"/>
      <c r="BJ12" s="1495"/>
      <c r="BK12" s="1495"/>
      <c r="BL12" s="1495"/>
      <c r="BM12" s="1495"/>
      <c r="BN12" s="1495"/>
      <c r="BO12" s="1495"/>
      <c r="BP12" s="1495"/>
      <c r="BQ12" s="1495"/>
      <c r="BR12" s="1495"/>
      <c r="BS12" s="1496"/>
      <c r="BT12" s="1400" t="s">
        <v>1249</v>
      </c>
      <c r="BU12" s="1401"/>
      <c r="BV12" s="1401"/>
      <c r="BW12" s="1494"/>
      <c r="BX12" s="1400" t="s">
        <v>1250</v>
      </c>
      <c r="BY12" s="1401"/>
      <c r="BZ12" s="1401"/>
      <c r="CA12" s="1494"/>
      <c r="CB12" s="1400" t="s">
        <v>1251</v>
      </c>
      <c r="CC12" s="1494"/>
      <c r="CD12" s="1400" t="s">
        <v>1252</v>
      </c>
      <c r="CE12" s="1401"/>
      <c r="CF12" s="1401"/>
      <c r="CG12" s="1401"/>
      <c r="CH12" s="1401"/>
      <c r="CI12" s="1401"/>
      <c r="CJ12" s="1401"/>
      <c r="CK12" s="1494"/>
      <c r="CL12" s="1502"/>
      <c r="CM12" s="1495"/>
      <c r="CN12" s="1495"/>
      <c r="CO12" s="1495"/>
      <c r="CP12" s="1495"/>
      <c r="CQ12" s="1495"/>
      <c r="CR12" s="1495"/>
      <c r="CS12" s="1495"/>
      <c r="CT12" s="1495"/>
      <c r="CU12" s="1495"/>
      <c r="CV12" s="1495"/>
      <c r="CW12" s="1495"/>
      <c r="CX12" s="1496"/>
      <c r="CY12" s="1400" t="s">
        <v>1253</v>
      </c>
      <c r="CZ12" s="1401"/>
      <c r="DA12" s="1401"/>
      <c r="DB12" s="1401"/>
      <c r="DC12" s="1401"/>
      <c r="DD12" s="1494"/>
      <c r="DE12" s="1400" t="s">
        <v>1254</v>
      </c>
      <c r="DF12" s="1494"/>
      <c r="DG12" s="1400" t="s">
        <v>1252</v>
      </c>
      <c r="DH12" s="1401"/>
      <c r="DI12" s="1401"/>
      <c r="DJ12" s="1494"/>
      <c r="DK12" s="1502"/>
      <c r="DL12" s="1495"/>
      <c r="DM12" s="1495"/>
      <c r="DN12" s="1495"/>
      <c r="DO12" s="1495"/>
      <c r="DP12" s="1495"/>
      <c r="DQ12" s="1495"/>
      <c r="DR12" s="1495"/>
      <c r="DS12" s="1495"/>
      <c r="DT12" s="1495"/>
      <c r="DU12" s="1495"/>
      <c r="DV12" s="1495"/>
      <c r="DW12" s="1495"/>
      <c r="DX12" s="1495"/>
      <c r="DY12" s="1495"/>
      <c r="DZ12" s="1495"/>
      <c r="EA12" s="1495"/>
      <c r="EB12" s="1495"/>
      <c r="EC12" s="1495"/>
      <c r="ED12" s="1495"/>
      <c r="EE12" s="1495"/>
      <c r="EF12" s="1495"/>
      <c r="EG12" s="1495"/>
      <c r="EH12" s="1495"/>
      <c r="EI12" s="1495"/>
      <c r="EJ12" s="1495"/>
      <c r="EK12" s="1495"/>
      <c r="EL12" s="1495"/>
      <c r="EM12" s="1495"/>
      <c r="EN12" s="1495"/>
      <c r="EO12" s="1495"/>
      <c r="EP12" s="1495"/>
      <c r="EQ12" s="1495"/>
      <c r="ER12" s="1495"/>
      <c r="ES12" s="1495"/>
      <c r="ET12" s="1495"/>
      <c r="EU12" s="1495"/>
      <c r="EV12" s="1495"/>
      <c r="EW12" s="1495"/>
      <c r="EX12" s="1495"/>
      <c r="EY12" s="1495"/>
      <c r="EZ12" s="1495"/>
      <c r="FA12" s="1495"/>
      <c r="FB12" s="1495"/>
      <c r="FC12" s="1495"/>
      <c r="FD12" s="1495"/>
      <c r="FE12" s="1495"/>
      <c r="FF12" s="1495"/>
      <c r="FG12" s="1495"/>
      <c r="FH12" s="1495"/>
      <c r="FI12" s="1495"/>
      <c r="FJ12" s="1495"/>
      <c r="FK12" s="1495"/>
      <c r="FL12" s="1495"/>
      <c r="FM12" s="1495"/>
      <c r="FN12" s="1495"/>
      <c r="FO12" s="1495"/>
      <c r="FP12" s="1495"/>
      <c r="FQ12" s="1495"/>
      <c r="FR12" s="1495"/>
      <c r="FS12" s="1495"/>
      <c r="FT12" s="1495"/>
      <c r="FU12" s="1495"/>
      <c r="FV12" s="1495"/>
      <c r="FW12" s="1500"/>
      <c r="FX12" s="33"/>
      <c r="GC12" s="535">
        <v>12</v>
      </c>
    </row>
    <row r="13" spans="2:185" ht="37.9" customHeight="1">
      <c r="D13" s="57"/>
      <c r="E13" s="540"/>
      <c r="F13" s="1250"/>
      <c r="G13" s="1250"/>
      <c r="H13" s="1250"/>
      <c r="I13" s="1250"/>
      <c r="J13" s="1512"/>
      <c r="K13" s="1512"/>
      <c r="L13" s="1512"/>
      <c r="M13" s="1512"/>
      <c r="N13" s="1512"/>
      <c r="O13" s="1254" t="s">
        <v>1255</v>
      </c>
      <c r="P13" s="1254"/>
      <c r="Q13" s="1254"/>
      <c r="R13" s="1254"/>
      <c r="S13" s="1355" t="s">
        <v>1256</v>
      </c>
      <c r="T13" s="1402"/>
      <c r="U13" s="1159" t="s">
        <v>1257</v>
      </c>
      <c r="V13" s="1159"/>
      <c r="W13" s="1159"/>
      <c r="X13" s="1159"/>
      <c r="Y13" s="1159" t="s">
        <v>1258</v>
      </c>
      <c r="Z13" s="1159"/>
      <c r="AA13" s="1159"/>
      <c r="AB13" s="1159"/>
      <c r="AC13" s="1495"/>
      <c r="AD13" s="1495"/>
      <c r="AE13" s="1495"/>
      <c r="AF13" s="1495"/>
      <c r="AG13" s="1495"/>
      <c r="AH13" s="1495"/>
      <c r="AI13" s="1495"/>
      <c r="AJ13" s="1495"/>
      <c r="AK13" s="1495"/>
      <c r="AL13" s="1495"/>
      <c r="AM13" s="1495"/>
      <c r="AN13" s="1495"/>
      <c r="AO13" s="1495"/>
      <c r="AP13" s="1495"/>
      <c r="AQ13" s="1495"/>
      <c r="AR13" s="1495"/>
      <c r="AS13" s="1495"/>
      <c r="AT13" s="1495"/>
      <c r="AU13" s="1495"/>
      <c r="AV13" s="1495"/>
      <c r="AW13" s="1495"/>
      <c r="AX13" s="1495"/>
      <c r="AY13" s="1495"/>
      <c r="AZ13" s="1495"/>
      <c r="BA13" s="1495"/>
      <c r="BB13" s="1495"/>
      <c r="BC13" s="1495"/>
      <c r="BD13" s="1495"/>
      <c r="BE13" s="1495"/>
      <c r="BF13" s="1495"/>
      <c r="BG13" s="1495"/>
      <c r="BH13" s="1495"/>
      <c r="BI13" s="1495"/>
      <c r="BJ13" s="1495"/>
      <c r="BK13" s="1495"/>
      <c r="BL13" s="1495"/>
      <c r="BM13" s="1495"/>
      <c r="BN13" s="1495"/>
      <c r="BO13" s="1495"/>
      <c r="BP13" s="1495"/>
      <c r="BQ13" s="1495"/>
      <c r="BR13" s="1495"/>
      <c r="BS13" s="1496"/>
      <c r="BT13" s="1355" t="s">
        <v>1259</v>
      </c>
      <c r="BU13" s="1402"/>
      <c r="BV13" s="1355" t="s">
        <v>1260</v>
      </c>
      <c r="BW13" s="1402"/>
      <c r="BX13" s="1355" t="s">
        <v>1261</v>
      </c>
      <c r="BY13" s="1402"/>
      <c r="BZ13" s="1355" t="s">
        <v>1262</v>
      </c>
      <c r="CA13" s="1402"/>
      <c r="CB13" s="1355" t="s">
        <v>1263</v>
      </c>
      <c r="CC13" s="1402"/>
      <c r="CD13" s="1355" t="s">
        <v>1264</v>
      </c>
      <c r="CE13" s="1402"/>
      <c r="CF13" s="1355" t="s">
        <v>1265</v>
      </c>
      <c r="CG13" s="1402"/>
      <c r="CH13" s="1400" t="s">
        <v>1266</v>
      </c>
      <c r="CI13" s="1401"/>
      <c r="CJ13" s="1401"/>
      <c r="CK13" s="1494"/>
      <c r="CL13" s="1502"/>
      <c r="CM13" s="1495"/>
      <c r="CN13" s="1495"/>
      <c r="CO13" s="1495"/>
      <c r="CP13" s="1495"/>
      <c r="CQ13" s="1495"/>
      <c r="CR13" s="1495"/>
      <c r="CS13" s="1495"/>
      <c r="CT13" s="1495"/>
      <c r="CU13" s="1495"/>
      <c r="CV13" s="1495"/>
      <c r="CW13" s="1495"/>
      <c r="CX13" s="1496"/>
      <c r="CY13" s="1355" t="s">
        <v>1267</v>
      </c>
      <c r="CZ13" s="1402"/>
      <c r="DA13" s="1355" t="s">
        <v>1268</v>
      </c>
      <c r="DB13" s="1402"/>
      <c r="DC13" s="1355" t="s">
        <v>1269</v>
      </c>
      <c r="DD13" s="1402"/>
      <c r="DE13" s="1355" t="s">
        <v>1270</v>
      </c>
      <c r="DF13" s="1402"/>
      <c r="DG13" s="1400" t="s">
        <v>1271</v>
      </c>
      <c r="DH13" s="1401"/>
      <c r="DI13" s="1401"/>
      <c r="DJ13" s="1494"/>
      <c r="DK13" s="1502"/>
      <c r="DL13" s="1495"/>
      <c r="DM13" s="1495"/>
      <c r="DN13" s="1495"/>
      <c r="DO13" s="1495"/>
      <c r="DP13" s="1495"/>
      <c r="DQ13" s="1495"/>
      <c r="DR13" s="1495"/>
      <c r="DS13" s="1495"/>
      <c r="DT13" s="1495"/>
      <c r="DU13" s="1495"/>
      <c r="DV13" s="1495"/>
      <c r="DW13" s="1495"/>
      <c r="DX13" s="1495"/>
      <c r="DY13" s="1495"/>
      <c r="DZ13" s="1495"/>
      <c r="EA13" s="1495"/>
      <c r="EB13" s="1495"/>
      <c r="EC13" s="1495"/>
      <c r="ED13" s="1495"/>
      <c r="EE13" s="1495"/>
      <c r="EF13" s="1495"/>
      <c r="EG13" s="1495"/>
      <c r="EH13" s="1495"/>
      <c r="EI13" s="1495"/>
      <c r="EJ13" s="1495"/>
      <c r="EK13" s="1495"/>
      <c r="EL13" s="1495"/>
      <c r="EM13" s="1495"/>
      <c r="EN13" s="1495"/>
      <c r="EO13" s="1495"/>
      <c r="EP13" s="1495"/>
      <c r="EQ13" s="1495"/>
      <c r="ER13" s="1495"/>
      <c r="ES13" s="1495"/>
      <c r="ET13" s="1495"/>
      <c r="EU13" s="1495"/>
      <c r="EV13" s="1495"/>
      <c r="EW13" s="1495"/>
      <c r="EX13" s="1495"/>
      <c r="EY13" s="1495"/>
      <c r="EZ13" s="1495"/>
      <c r="FA13" s="1495"/>
      <c r="FB13" s="1495"/>
      <c r="FC13" s="1495"/>
      <c r="FD13" s="1495"/>
      <c r="FE13" s="1495"/>
      <c r="FF13" s="1495"/>
      <c r="FG13" s="1495"/>
      <c r="FH13" s="1495"/>
      <c r="FI13" s="1495"/>
      <c r="FJ13" s="1495"/>
      <c r="FK13" s="1495"/>
      <c r="FL13" s="1495"/>
      <c r="FM13" s="1495"/>
      <c r="FN13" s="1495"/>
      <c r="FO13" s="1495"/>
      <c r="FP13" s="1495"/>
      <c r="FQ13" s="1495"/>
      <c r="FR13" s="1495"/>
      <c r="FS13" s="1495"/>
      <c r="FT13" s="1495"/>
      <c r="FU13" s="1495"/>
      <c r="FV13" s="1495"/>
      <c r="FW13" s="1500"/>
      <c r="FX13" s="33"/>
      <c r="GC13" s="535">
        <v>36</v>
      </c>
    </row>
    <row r="14" spans="2:185" ht="37.9" customHeight="1">
      <c r="D14" s="57"/>
      <c r="E14" s="540"/>
      <c r="F14" s="1250"/>
      <c r="G14" s="1250"/>
      <c r="H14" s="1250"/>
      <c r="I14" s="1250"/>
      <c r="J14" s="1512"/>
      <c r="K14" s="1512"/>
      <c r="L14" s="1512"/>
      <c r="M14" s="1512"/>
      <c r="N14" s="1512"/>
      <c r="O14" s="1355" t="s">
        <v>1272</v>
      </c>
      <c r="P14" s="1402"/>
      <c r="Q14" s="1355" t="s">
        <v>1273</v>
      </c>
      <c r="R14" s="1402"/>
      <c r="S14" s="1356"/>
      <c r="T14" s="1258"/>
      <c r="U14" s="1355" t="s">
        <v>870</v>
      </c>
      <c r="V14" s="1402"/>
      <c r="W14" s="1355" t="s">
        <v>873</v>
      </c>
      <c r="X14" s="1402"/>
      <c r="Y14" s="1355" t="s">
        <v>870</v>
      </c>
      <c r="Z14" s="1402"/>
      <c r="AA14" s="1355" t="s">
        <v>880</v>
      </c>
      <c r="AB14" s="1402"/>
      <c r="AC14" s="1495"/>
      <c r="AD14" s="1495"/>
      <c r="AE14" s="1495"/>
      <c r="AF14" s="1495"/>
      <c r="AG14" s="1495"/>
      <c r="AH14" s="1495"/>
      <c r="AI14" s="1495"/>
      <c r="AJ14" s="1495"/>
      <c r="AK14" s="1495"/>
      <c r="AL14" s="1495"/>
      <c r="AM14" s="1495"/>
      <c r="AN14" s="1495"/>
      <c r="AO14" s="1495"/>
      <c r="AP14" s="1495"/>
      <c r="AQ14" s="1495"/>
      <c r="AR14" s="1495"/>
      <c r="AS14" s="1495"/>
      <c r="AT14" s="1495"/>
      <c r="AU14" s="1495"/>
      <c r="AV14" s="1495"/>
      <c r="AW14" s="1495"/>
      <c r="AX14" s="1495"/>
      <c r="AY14" s="1495"/>
      <c r="AZ14" s="1495"/>
      <c r="BA14" s="1495"/>
      <c r="BB14" s="1495"/>
      <c r="BC14" s="1495"/>
      <c r="BD14" s="1495"/>
      <c r="BE14" s="1495"/>
      <c r="BF14" s="1495"/>
      <c r="BG14" s="1495"/>
      <c r="BH14" s="1495"/>
      <c r="BI14" s="1495"/>
      <c r="BJ14" s="1495"/>
      <c r="BK14" s="1495"/>
      <c r="BL14" s="1495"/>
      <c r="BM14" s="1495"/>
      <c r="BN14" s="1495"/>
      <c r="BO14" s="1495"/>
      <c r="BP14" s="1495"/>
      <c r="BQ14" s="1495"/>
      <c r="BR14" s="1495"/>
      <c r="BS14" s="1496"/>
      <c r="BT14" s="1356"/>
      <c r="BU14" s="1258"/>
      <c r="BV14" s="1356"/>
      <c r="BW14" s="1258"/>
      <c r="BX14" s="1356"/>
      <c r="BY14" s="1258"/>
      <c r="BZ14" s="1356"/>
      <c r="CA14" s="1258"/>
      <c r="CB14" s="1356"/>
      <c r="CC14" s="1258"/>
      <c r="CD14" s="1356"/>
      <c r="CE14" s="1258"/>
      <c r="CF14" s="1356"/>
      <c r="CG14" s="1258"/>
      <c r="CH14" s="1355" t="s">
        <v>1274</v>
      </c>
      <c r="CI14" s="1402"/>
      <c r="CJ14" s="1355" t="s">
        <v>1275</v>
      </c>
      <c r="CK14" s="1402"/>
      <c r="CL14" s="1502"/>
      <c r="CM14" s="1495"/>
      <c r="CN14" s="1495"/>
      <c r="CO14" s="1495"/>
      <c r="CP14" s="1495"/>
      <c r="CQ14" s="1495"/>
      <c r="CR14" s="1495"/>
      <c r="CS14" s="1495"/>
      <c r="CT14" s="1495"/>
      <c r="CU14" s="1495"/>
      <c r="CV14" s="1495"/>
      <c r="CW14" s="1495"/>
      <c r="CX14" s="1496"/>
      <c r="CY14" s="1356"/>
      <c r="CZ14" s="1258"/>
      <c r="DA14" s="1356"/>
      <c r="DB14" s="1258"/>
      <c r="DC14" s="1356"/>
      <c r="DD14" s="1258"/>
      <c r="DE14" s="1356"/>
      <c r="DF14" s="1258"/>
      <c r="DG14" s="1355" t="s">
        <v>1276</v>
      </c>
      <c r="DH14" s="1402"/>
      <c r="DI14" s="1355" t="s">
        <v>1277</v>
      </c>
      <c r="DJ14" s="1402"/>
      <c r="DK14" s="1502"/>
      <c r="DL14" s="1495"/>
      <c r="DM14" s="1495"/>
      <c r="DN14" s="1495"/>
      <c r="DO14" s="1495"/>
      <c r="DP14" s="1495"/>
      <c r="DQ14" s="1495"/>
      <c r="DR14" s="1495"/>
      <c r="DS14" s="1495"/>
      <c r="DT14" s="1495"/>
      <c r="DU14" s="1495"/>
      <c r="DV14" s="1495"/>
      <c r="DW14" s="1495"/>
      <c r="DX14" s="1495"/>
      <c r="DY14" s="1495"/>
      <c r="DZ14" s="1495"/>
      <c r="EA14" s="1495"/>
      <c r="EB14" s="1495"/>
      <c r="EC14" s="1495"/>
      <c r="ED14" s="1495"/>
      <c r="EE14" s="1495"/>
      <c r="EF14" s="1495"/>
      <c r="EG14" s="1495"/>
      <c r="EH14" s="1495"/>
      <c r="EI14" s="1495"/>
      <c r="EJ14" s="1495"/>
      <c r="EK14" s="1495"/>
      <c r="EL14" s="1495"/>
      <c r="EM14" s="1495"/>
      <c r="EN14" s="1495"/>
      <c r="EO14" s="1495"/>
      <c r="EP14" s="1495"/>
      <c r="EQ14" s="1495"/>
      <c r="ER14" s="1495"/>
      <c r="ES14" s="1495"/>
      <c r="ET14" s="1495"/>
      <c r="EU14" s="1495"/>
      <c r="EV14" s="1495"/>
      <c r="EW14" s="1495"/>
      <c r="EX14" s="1495"/>
      <c r="EY14" s="1495"/>
      <c r="EZ14" s="1495"/>
      <c r="FA14" s="1495"/>
      <c r="FB14" s="1495"/>
      <c r="FC14" s="1495"/>
      <c r="FD14" s="1495"/>
      <c r="FE14" s="1495"/>
      <c r="FF14" s="1495"/>
      <c r="FG14" s="1495"/>
      <c r="FH14" s="1495"/>
      <c r="FI14" s="1495"/>
      <c r="FJ14" s="1495"/>
      <c r="FK14" s="1495"/>
      <c r="FL14" s="1495"/>
      <c r="FM14" s="1495"/>
      <c r="FN14" s="1495"/>
      <c r="FO14" s="1495"/>
      <c r="FP14" s="1495"/>
      <c r="FQ14" s="1495"/>
      <c r="FR14" s="1495"/>
      <c r="FS14" s="1495"/>
      <c r="FT14" s="1495"/>
      <c r="FU14" s="1495"/>
      <c r="FV14" s="1495"/>
      <c r="FW14" s="1500"/>
      <c r="FX14" s="33"/>
      <c r="GC14" s="535">
        <v>36</v>
      </c>
    </row>
    <row r="15" spans="2:185" ht="37.9" customHeight="1">
      <c r="D15" s="57"/>
      <c r="E15" s="540"/>
      <c r="F15" s="1250"/>
      <c r="G15" s="1250"/>
      <c r="H15" s="1250"/>
      <c r="I15" s="1250"/>
      <c r="J15" s="1512"/>
      <c r="K15" s="1512"/>
      <c r="L15" s="1512"/>
      <c r="M15" s="1512"/>
      <c r="N15" s="1512"/>
      <c r="O15" s="1357"/>
      <c r="P15" s="1434"/>
      <c r="Q15" s="1357"/>
      <c r="R15" s="1434"/>
      <c r="S15" s="1357"/>
      <c r="T15" s="1434"/>
      <c r="U15" s="1357"/>
      <c r="V15" s="1434"/>
      <c r="W15" s="1357"/>
      <c r="X15" s="1434"/>
      <c r="Y15" s="1357"/>
      <c r="Z15" s="1434"/>
      <c r="AA15" s="1357"/>
      <c r="AB15" s="1434"/>
      <c r="AC15" s="1495"/>
      <c r="AD15" s="1495"/>
      <c r="AE15" s="1495"/>
      <c r="AF15" s="1495"/>
      <c r="AG15" s="1495"/>
      <c r="AH15" s="1495"/>
      <c r="AI15" s="1495"/>
      <c r="AJ15" s="1495"/>
      <c r="AK15" s="1495"/>
      <c r="AL15" s="1495"/>
      <c r="AM15" s="1495"/>
      <c r="AN15" s="1495"/>
      <c r="AO15" s="1495"/>
      <c r="AP15" s="1495"/>
      <c r="AQ15" s="1495"/>
      <c r="AR15" s="1495"/>
      <c r="AS15" s="1495"/>
      <c r="AT15" s="1495"/>
      <c r="AU15" s="1495"/>
      <c r="AV15" s="1495"/>
      <c r="AW15" s="1495"/>
      <c r="AX15" s="1495"/>
      <c r="AY15" s="1495"/>
      <c r="AZ15" s="1495"/>
      <c r="BA15" s="1495"/>
      <c r="BB15" s="1495"/>
      <c r="BC15" s="1495"/>
      <c r="BD15" s="1495"/>
      <c r="BE15" s="1495"/>
      <c r="BF15" s="1495"/>
      <c r="BG15" s="1495"/>
      <c r="BH15" s="1495"/>
      <c r="BI15" s="1495"/>
      <c r="BJ15" s="1495"/>
      <c r="BK15" s="1495"/>
      <c r="BL15" s="1495"/>
      <c r="BM15" s="1495"/>
      <c r="BN15" s="1495"/>
      <c r="BO15" s="1495"/>
      <c r="BP15" s="1495"/>
      <c r="BQ15" s="1495"/>
      <c r="BR15" s="1495"/>
      <c r="BS15" s="1496"/>
      <c r="BT15" s="1357"/>
      <c r="BU15" s="1434"/>
      <c r="BV15" s="1357"/>
      <c r="BW15" s="1434"/>
      <c r="BX15" s="1357"/>
      <c r="BY15" s="1434"/>
      <c r="BZ15" s="1357"/>
      <c r="CA15" s="1434"/>
      <c r="CB15" s="1357"/>
      <c r="CC15" s="1434"/>
      <c r="CD15" s="1357"/>
      <c r="CE15" s="1434"/>
      <c r="CF15" s="1357"/>
      <c r="CG15" s="1434"/>
      <c r="CH15" s="1357"/>
      <c r="CI15" s="1434"/>
      <c r="CJ15" s="1357"/>
      <c r="CK15" s="1434"/>
      <c r="CL15" s="1502"/>
      <c r="CM15" s="1495"/>
      <c r="CN15" s="1495"/>
      <c r="CO15" s="1495"/>
      <c r="CP15" s="1495"/>
      <c r="CQ15" s="1495"/>
      <c r="CR15" s="1495"/>
      <c r="CS15" s="1495"/>
      <c r="CT15" s="1495"/>
      <c r="CU15" s="1495"/>
      <c r="CV15" s="1495"/>
      <c r="CW15" s="1495"/>
      <c r="CX15" s="1496"/>
      <c r="CY15" s="1357"/>
      <c r="CZ15" s="1434"/>
      <c r="DA15" s="1357"/>
      <c r="DB15" s="1434"/>
      <c r="DC15" s="1357"/>
      <c r="DD15" s="1434"/>
      <c r="DE15" s="1357"/>
      <c r="DF15" s="1434"/>
      <c r="DG15" s="1357"/>
      <c r="DH15" s="1434"/>
      <c r="DI15" s="1357"/>
      <c r="DJ15" s="1434"/>
      <c r="DK15" s="1502"/>
      <c r="DL15" s="1495"/>
      <c r="DM15" s="1495"/>
      <c r="DN15" s="1495"/>
      <c r="DO15" s="1495"/>
      <c r="DP15" s="1495"/>
      <c r="DQ15" s="1495"/>
      <c r="DR15" s="1495"/>
      <c r="DS15" s="1495"/>
      <c r="DT15" s="1495"/>
      <c r="DU15" s="1495"/>
      <c r="DV15" s="1495"/>
      <c r="DW15" s="1495"/>
      <c r="DX15" s="1495"/>
      <c r="DY15" s="1495"/>
      <c r="DZ15" s="1495"/>
      <c r="EA15" s="1495"/>
      <c r="EB15" s="1495"/>
      <c r="EC15" s="1495"/>
      <c r="ED15" s="1495"/>
      <c r="EE15" s="1495"/>
      <c r="EF15" s="1495"/>
      <c r="EG15" s="1495"/>
      <c r="EH15" s="1495"/>
      <c r="EI15" s="1495"/>
      <c r="EJ15" s="1495"/>
      <c r="EK15" s="1495"/>
      <c r="EL15" s="1495"/>
      <c r="EM15" s="1495"/>
      <c r="EN15" s="1495"/>
      <c r="EO15" s="1495"/>
      <c r="EP15" s="1495"/>
      <c r="EQ15" s="1495"/>
      <c r="ER15" s="1495"/>
      <c r="ES15" s="1495"/>
      <c r="ET15" s="1495"/>
      <c r="EU15" s="1495"/>
      <c r="EV15" s="1495"/>
      <c r="EW15" s="1495"/>
      <c r="EX15" s="1495"/>
      <c r="EY15" s="1495"/>
      <c r="EZ15" s="1495"/>
      <c r="FA15" s="1495"/>
      <c r="FB15" s="1495"/>
      <c r="FC15" s="1495"/>
      <c r="FD15" s="1495"/>
      <c r="FE15" s="1495"/>
      <c r="FF15" s="1495"/>
      <c r="FG15" s="1495"/>
      <c r="FH15" s="1495"/>
      <c r="FI15" s="1495"/>
      <c r="FJ15" s="1495"/>
      <c r="FK15" s="1495"/>
      <c r="FL15" s="1495"/>
      <c r="FM15" s="1495"/>
      <c r="FN15" s="1495"/>
      <c r="FO15" s="1495"/>
      <c r="FP15" s="1495"/>
      <c r="FQ15" s="1495"/>
      <c r="FR15" s="1495"/>
      <c r="FS15" s="1495"/>
      <c r="FT15" s="1495"/>
      <c r="FU15" s="1495"/>
      <c r="FV15" s="1495"/>
      <c r="FW15" s="1500"/>
      <c r="FX15" s="33"/>
      <c r="GC15" s="535">
        <v>36</v>
      </c>
    </row>
    <row r="16" spans="2:185" ht="12.75" customHeight="1">
      <c r="D16" s="57"/>
      <c r="E16" s="540"/>
      <c r="F16" s="1250"/>
      <c r="G16" s="1250"/>
      <c r="H16" s="1250"/>
      <c r="I16" s="1250"/>
      <c r="J16" s="1512"/>
      <c r="K16" s="1512"/>
      <c r="L16" s="1512"/>
      <c r="M16" s="1512"/>
      <c r="N16" s="1512"/>
      <c r="O16" s="1400" t="s">
        <v>860</v>
      </c>
      <c r="P16" s="1494"/>
      <c r="Q16" s="1400" t="s">
        <v>862</v>
      </c>
      <c r="R16" s="1494"/>
      <c r="S16" s="1400" t="s">
        <v>866</v>
      </c>
      <c r="T16" s="1494"/>
      <c r="U16" s="1400" t="s">
        <v>871</v>
      </c>
      <c r="V16" s="1494"/>
      <c r="W16" s="1400" t="s">
        <v>874</v>
      </c>
      <c r="X16" s="1494"/>
      <c r="Y16" s="1400" t="s">
        <v>878</v>
      </c>
      <c r="Z16" s="1494"/>
      <c r="AA16" s="1400" t="s">
        <v>881</v>
      </c>
      <c r="AB16" s="1494"/>
      <c r="AC16" s="1495"/>
      <c r="AD16" s="1495"/>
      <c r="AE16" s="1495"/>
      <c r="AF16" s="1495"/>
      <c r="AG16" s="1495"/>
      <c r="AH16" s="1495"/>
      <c r="AI16" s="1495"/>
      <c r="AJ16" s="1495"/>
      <c r="AK16" s="1495"/>
      <c r="AL16" s="1495"/>
      <c r="AM16" s="1495"/>
      <c r="AN16" s="1495"/>
      <c r="AO16" s="1495"/>
      <c r="AP16" s="1495"/>
      <c r="AQ16" s="1495"/>
      <c r="AR16" s="1495"/>
      <c r="AS16" s="1495"/>
      <c r="AT16" s="1495"/>
      <c r="AU16" s="1495"/>
      <c r="AV16" s="1495"/>
      <c r="AW16" s="1495"/>
      <c r="AX16" s="1495"/>
      <c r="AY16" s="1495"/>
      <c r="AZ16" s="1495"/>
      <c r="BA16" s="1495"/>
      <c r="BB16" s="1495"/>
      <c r="BC16" s="1495"/>
      <c r="BD16" s="1495"/>
      <c r="BE16" s="1495"/>
      <c r="BF16" s="1495"/>
      <c r="BG16" s="1495"/>
      <c r="BH16" s="1495"/>
      <c r="BI16" s="1495"/>
      <c r="BJ16" s="1495"/>
      <c r="BK16" s="1495"/>
      <c r="BL16" s="1495"/>
      <c r="BM16" s="1495"/>
      <c r="BN16" s="1495"/>
      <c r="BO16" s="1495"/>
      <c r="BP16" s="1495"/>
      <c r="BQ16" s="1495"/>
      <c r="BR16" s="1495"/>
      <c r="BS16" s="1496"/>
      <c r="BT16" s="1400" t="s">
        <v>562</v>
      </c>
      <c r="BU16" s="1494"/>
      <c r="BV16" s="1400" t="s">
        <v>562</v>
      </c>
      <c r="BW16" s="1494"/>
      <c r="BX16" s="1400" t="s">
        <v>562</v>
      </c>
      <c r="BY16" s="1494"/>
      <c r="BZ16" s="1400" t="s">
        <v>562</v>
      </c>
      <c r="CA16" s="1494"/>
      <c r="CB16" s="1400" t="s">
        <v>1278</v>
      </c>
      <c r="CC16" s="1494"/>
      <c r="CD16" s="1400" t="s">
        <v>562</v>
      </c>
      <c r="CE16" s="1494"/>
      <c r="CF16" s="1400" t="s">
        <v>1279</v>
      </c>
      <c r="CG16" s="1494"/>
      <c r="CH16" s="1400" t="s">
        <v>1280</v>
      </c>
      <c r="CI16" s="1494"/>
      <c r="CJ16" s="1400" t="s">
        <v>1280</v>
      </c>
      <c r="CK16" s="1494"/>
      <c r="CL16" s="1502"/>
      <c r="CM16" s="1495"/>
      <c r="CN16" s="1495"/>
      <c r="CO16" s="1495"/>
      <c r="CP16" s="1495"/>
      <c r="CQ16" s="1495"/>
      <c r="CR16" s="1495"/>
      <c r="CS16" s="1495"/>
      <c r="CT16" s="1495"/>
      <c r="CU16" s="1495"/>
      <c r="CV16" s="1495"/>
      <c r="CW16" s="1495"/>
      <c r="CX16" s="1496"/>
      <c r="CY16" s="1355" t="s">
        <v>562</v>
      </c>
      <c r="CZ16" s="1402"/>
      <c r="DA16" s="1355" t="s">
        <v>562</v>
      </c>
      <c r="DB16" s="1402"/>
      <c r="DC16" s="1355" t="s">
        <v>562</v>
      </c>
      <c r="DD16" s="1402"/>
      <c r="DE16" s="1400" t="s">
        <v>1278</v>
      </c>
      <c r="DF16" s="1494"/>
      <c r="DG16" s="1400" t="s">
        <v>1281</v>
      </c>
      <c r="DH16" s="1494"/>
      <c r="DI16" s="1400" t="s">
        <v>1281</v>
      </c>
      <c r="DJ16" s="1494"/>
      <c r="DK16" s="1502"/>
      <c r="DL16" s="1495"/>
      <c r="DM16" s="1495"/>
      <c r="DN16" s="1495"/>
      <c r="DO16" s="1495"/>
      <c r="DP16" s="1495"/>
      <c r="DQ16" s="1495"/>
      <c r="DR16" s="1495"/>
      <c r="DS16" s="1495"/>
      <c r="DT16" s="1495"/>
      <c r="DU16" s="1495"/>
      <c r="DV16" s="1495"/>
      <c r="DW16" s="1495"/>
      <c r="DX16" s="1495"/>
      <c r="DY16" s="1495"/>
      <c r="DZ16" s="1495"/>
      <c r="EA16" s="1495"/>
      <c r="EB16" s="1495"/>
      <c r="EC16" s="1495"/>
      <c r="ED16" s="1495"/>
      <c r="EE16" s="1495"/>
      <c r="EF16" s="1495"/>
      <c r="EG16" s="1495"/>
      <c r="EH16" s="1495"/>
      <c r="EI16" s="1495"/>
      <c r="EJ16" s="1495"/>
      <c r="EK16" s="1495"/>
      <c r="EL16" s="1495"/>
      <c r="EM16" s="1495"/>
      <c r="EN16" s="1495"/>
      <c r="EO16" s="1495"/>
      <c r="EP16" s="1495"/>
      <c r="EQ16" s="1495"/>
      <c r="ER16" s="1495"/>
      <c r="ES16" s="1495"/>
      <c r="ET16" s="1495"/>
      <c r="EU16" s="1495"/>
      <c r="EV16" s="1495"/>
      <c r="EW16" s="1495"/>
      <c r="EX16" s="1495"/>
      <c r="EY16" s="1495"/>
      <c r="EZ16" s="1495"/>
      <c r="FA16" s="1495"/>
      <c r="FB16" s="1495"/>
      <c r="FC16" s="1495"/>
      <c r="FD16" s="1495"/>
      <c r="FE16" s="1495"/>
      <c r="FF16" s="1495"/>
      <c r="FG16" s="1495"/>
      <c r="FH16" s="1495"/>
      <c r="FI16" s="1495"/>
      <c r="FJ16" s="1495"/>
      <c r="FK16" s="1495"/>
      <c r="FL16" s="1495"/>
      <c r="FM16" s="1495"/>
      <c r="FN16" s="1495"/>
      <c r="FO16" s="1495"/>
      <c r="FP16" s="1495"/>
      <c r="FQ16" s="1495"/>
      <c r="FR16" s="1495"/>
      <c r="FS16" s="1495"/>
      <c r="FT16" s="1495"/>
      <c r="FU16" s="1495"/>
      <c r="FV16" s="1495"/>
      <c r="FW16" s="1500"/>
      <c r="FX16" s="33"/>
      <c r="GC16" s="535">
        <v>12</v>
      </c>
    </row>
    <row r="17" spans="1:185" ht="15.75" customHeight="1">
      <c r="E17" s="540"/>
      <c r="F17" s="1250"/>
      <c r="G17" s="1250"/>
      <c r="H17" s="1250"/>
      <c r="I17" s="1250"/>
      <c r="J17" s="1512"/>
      <c r="K17" s="1512"/>
      <c r="L17" s="1512"/>
      <c r="M17" s="1512"/>
      <c r="N17" s="1512"/>
      <c r="O17" s="36" t="s">
        <v>1282</v>
      </c>
      <c r="P17" s="36" t="s">
        <v>1283</v>
      </c>
      <c r="Q17" s="36" t="s">
        <v>1282</v>
      </c>
      <c r="R17" s="36" t="s">
        <v>1283</v>
      </c>
      <c r="S17" s="36" t="s">
        <v>1282</v>
      </c>
      <c r="T17" s="36" t="s">
        <v>1283</v>
      </c>
      <c r="U17" s="36" t="s">
        <v>1282</v>
      </c>
      <c r="V17" s="36" t="s">
        <v>1283</v>
      </c>
      <c r="W17" s="36" t="s">
        <v>1282</v>
      </c>
      <c r="X17" s="36" t="s">
        <v>1283</v>
      </c>
      <c r="Y17" s="36" t="s">
        <v>1282</v>
      </c>
      <c r="Z17" s="36" t="s">
        <v>1283</v>
      </c>
      <c r="AA17" s="36" t="s">
        <v>1282</v>
      </c>
      <c r="AB17" s="36" t="s">
        <v>1283</v>
      </c>
      <c r="AC17" s="1495"/>
      <c r="AD17" s="1495"/>
      <c r="AE17" s="1495"/>
      <c r="AF17" s="1495"/>
      <c r="AG17" s="1495"/>
      <c r="AH17" s="1495"/>
      <c r="AI17" s="1495"/>
      <c r="AJ17" s="1495"/>
      <c r="AK17" s="1495"/>
      <c r="AL17" s="1495"/>
      <c r="AM17" s="1495"/>
      <c r="AN17" s="1495"/>
      <c r="AO17" s="1495"/>
      <c r="AP17" s="1495"/>
      <c r="AQ17" s="1495"/>
      <c r="AR17" s="1495"/>
      <c r="AS17" s="1495"/>
      <c r="AT17" s="1495"/>
      <c r="AU17" s="1495"/>
      <c r="AV17" s="1495"/>
      <c r="AW17" s="1495"/>
      <c r="AX17" s="1495"/>
      <c r="AY17" s="1495"/>
      <c r="AZ17" s="1495"/>
      <c r="BA17" s="1495"/>
      <c r="BB17" s="1495"/>
      <c r="BC17" s="1495"/>
      <c r="BD17" s="1495"/>
      <c r="BE17" s="1495"/>
      <c r="BF17" s="1495"/>
      <c r="BG17" s="1495"/>
      <c r="BH17" s="1495"/>
      <c r="BI17" s="1495"/>
      <c r="BJ17" s="1495"/>
      <c r="BK17" s="1495"/>
      <c r="BL17" s="1495"/>
      <c r="BM17" s="1495"/>
      <c r="BN17" s="1495"/>
      <c r="BO17" s="1495"/>
      <c r="BP17" s="1495"/>
      <c r="BQ17" s="1495"/>
      <c r="BR17" s="1495"/>
      <c r="BS17" s="1496"/>
      <c r="BT17" s="36" t="s">
        <v>1282</v>
      </c>
      <c r="BU17" s="36" t="s">
        <v>1283</v>
      </c>
      <c r="BV17" s="36" t="s">
        <v>1282</v>
      </c>
      <c r="BW17" s="36" t="s">
        <v>1283</v>
      </c>
      <c r="BX17" s="36" t="s">
        <v>1282</v>
      </c>
      <c r="BY17" s="36" t="s">
        <v>1283</v>
      </c>
      <c r="BZ17" s="36" t="s">
        <v>1282</v>
      </c>
      <c r="CA17" s="36" t="s">
        <v>1283</v>
      </c>
      <c r="CB17" s="36" t="s">
        <v>1282</v>
      </c>
      <c r="CC17" s="36" t="s">
        <v>1283</v>
      </c>
      <c r="CD17" s="36" t="s">
        <v>1282</v>
      </c>
      <c r="CE17" s="36" t="s">
        <v>1283</v>
      </c>
      <c r="CF17" s="36" t="s">
        <v>1282</v>
      </c>
      <c r="CG17" s="36" t="s">
        <v>1283</v>
      </c>
      <c r="CH17" s="36" t="s">
        <v>1282</v>
      </c>
      <c r="CI17" s="36" t="s">
        <v>1283</v>
      </c>
      <c r="CJ17" s="36" t="s">
        <v>1282</v>
      </c>
      <c r="CK17" s="36" t="s">
        <v>1283</v>
      </c>
      <c r="CL17" s="1502"/>
      <c r="CM17" s="1495"/>
      <c r="CN17" s="1495"/>
      <c r="CO17" s="1495"/>
      <c r="CP17" s="1495"/>
      <c r="CQ17" s="1495"/>
      <c r="CR17" s="1495"/>
      <c r="CS17" s="1495"/>
      <c r="CT17" s="1495"/>
      <c r="CU17" s="1495"/>
      <c r="CV17" s="1495"/>
      <c r="CW17" s="1495"/>
      <c r="CX17" s="1496"/>
      <c r="CY17" s="36" t="s">
        <v>1282</v>
      </c>
      <c r="CZ17" s="36" t="s">
        <v>1283</v>
      </c>
      <c r="DA17" s="36" t="s">
        <v>1282</v>
      </c>
      <c r="DB17" s="36" t="s">
        <v>1283</v>
      </c>
      <c r="DC17" s="36" t="s">
        <v>1282</v>
      </c>
      <c r="DD17" s="36" t="s">
        <v>1283</v>
      </c>
      <c r="DE17" s="36" t="s">
        <v>1282</v>
      </c>
      <c r="DF17" s="36" t="s">
        <v>1283</v>
      </c>
      <c r="DG17" s="36" t="s">
        <v>1282</v>
      </c>
      <c r="DH17" s="36" t="s">
        <v>1283</v>
      </c>
      <c r="DI17" s="36" t="s">
        <v>1282</v>
      </c>
      <c r="DJ17" s="36" t="s">
        <v>1283</v>
      </c>
      <c r="DK17" s="1502"/>
      <c r="DL17" s="1495"/>
      <c r="DM17" s="1495"/>
      <c r="DN17" s="1495"/>
      <c r="DO17" s="1495"/>
      <c r="DP17" s="1495"/>
      <c r="DQ17" s="1495"/>
      <c r="DR17" s="1495"/>
      <c r="DS17" s="1495"/>
      <c r="DT17" s="1495"/>
      <c r="DU17" s="1495"/>
      <c r="DV17" s="1495"/>
      <c r="DW17" s="1495"/>
      <c r="DX17" s="1495"/>
      <c r="DY17" s="1495"/>
      <c r="DZ17" s="1495"/>
      <c r="EA17" s="1495"/>
      <c r="EB17" s="1495"/>
      <c r="EC17" s="1495"/>
      <c r="ED17" s="1495"/>
      <c r="EE17" s="1495"/>
      <c r="EF17" s="1495"/>
      <c r="EG17" s="1495"/>
      <c r="EH17" s="1495"/>
      <c r="EI17" s="1495"/>
      <c r="EJ17" s="1495"/>
      <c r="EK17" s="1495"/>
      <c r="EL17" s="1495"/>
      <c r="EM17" s="1495"/>
      <c r="EN17" s="1495"/>
      <c r="EO17" s="1495"/>
      <c r="EP17" s="1495"/>
      <c r="EQ17" s="1495"/>
      <c r="ER17" s="1495"/>
      <c r="ES17" s="1495"/>
      <c r="ET17" s="1495"/>
      <c r="EU17" s="1495"/>
      <c r="EV17" s="1495"/>
      <c r="EW17" s="1495"/>
      <c r="EX17" s="1495"/>
      <c r="EY17" s="1495"/>
      <c r="EZ17" s="1495"/>
      <c r="FA17" s="1495"/>
      <c r="FB17" s="1495"/>
      <c r="FC17" s="1495"/>
      <c r="FD17" s="1495"/>
      <c r="FE17" s="1495"/>
      <c r="FF17" s="1495"/>
      <c r="FG17" s="1495"/>
      <c r="FH17" s="1495"/>
      <c r="FI17" s="1495"/>
      <c r="FJ17" s="1495"/>
      <c r="FK17" s="1495"/>
      <c r="FL17" s="1495"/>
      <c r="FM17" s="1495"/>
      <c r="FN17" s="1495"/>
      <c r="FO17" s="1495"/>
      <c r="FP17" s="1495"/>
      <c r="FQ17" s="1495"/>
      <c r="FR17" s="1495"/>
      <c r="FS17" s="1495"/>
      <c r="FT17" s="1495"/>
      <c r="FU17" s="1495"/>
      <c r="FV17" s="1495"/>
      <c r="FW17" s="1501"/>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382</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21" customHeight="1">
      <c r="A21" s="313" t="s">
        <v>1032</v>
      </c>
      <c r="B21" s="534"/>
      <c r="E21" s="541" t="s">
        <v>22</v>
      </c>
      <c r="F21" s="665" t="str">
        <f>INDEX(IP_MAIN_LIST_NAME_IP,MATCH(A21,IP_MAIN_LIST_IP_ID,0))&amp;" ("&amp;INDEX(IP_MAIN_START_DATE,MATCH(A21,IP_MAIN_LIST_IP_ID,0))&amp;"-"&amp;INDEX(IP_MAIN_END_DATE,MATCH(A21,IP_MAIN_LIST_IP_ID,0))&amp;")"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G21" s="698"/>
      <c r="H21" s="699"/>
      <c r="I21" s="699"/>
      <c r="J21" s="699"/>
      <c r="K21" s="699"/>
      <c r="L21" s="699"/>
      <c r="M21" s="699"/>
      <c r="N21" s="699"/>
      <c r="O21" s="698"/>
      <c r="P21" s="698"/>
      <c r="Q21" s="698"/>
      <c r="R21" s="698"/>
      <c r="S21" s="698"/>
      <c r="T21" s="698"/>
      <c r="U21" s="700"/>
      <c r="V21" s="700"/>
      <c r="W21" s="700"/>
      <c r="X21" s="700"/>
      <c r="Y21" s="700"/>
      <c r="Z21" s="700"/>
      <c r="AA21" s="700"/>
      <c r="AB21" s="698"/>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c r="DV21" s="701"/>
      <c r="DW21" s="701"/>
      <c r="DX21" s="701"/>
      <c r="DY21" s="701"/>
      <c r="DZ21" s="701"/>
      <c r="EA21" s="701"/>
      <c r="EB21" s="701"/>
      <c r="EC21" s="701"/>
      <c r="ED21" s="701"/>
      <c r="EE21" s="701"/>
      <c r="EF21" s="701"/>
      <c r="EG21" s="701"/>
      <c r="EH21" s="701"/>
      <c r="EI21" s="701"/>
      <c r="EJ21" s="701"/>
      <c r="EK21" s="701"/>
      <c r="EL21" s="701"/>
      <c r="EM21" s="701"/>
      <c r="EN21" s="701"/>
      <c r="EO21" s="701"/>
      <c r="EP21" s="701"/>
      <c r="EQ21" s="701"/>
      <c r="ER21" s="701"/>
      <c r="ES21" s="701"/>
      <c r="ET21" s="701"/>
      <c r="EU21" s="701"/>
      <c r="EV21" s="701"/>
      <c r="EW21" s="701"/>
      <c r="EX21" s="701"/>
      <c r="EY21" s="701"/>
      <c r="EZ21" s="701"/>
      <c r="FA21" s="701"/>
      <c r="FB21" s="701"/>
      <c r="FC21" s="701"/>
      <c r="FD21" s="701"/>
      <c r="FE21" s="701"/>
      <c r="FF21" s="701"/>
      <c r="FG21" s="701"/>
      <c r="FH21" s="701"/>
      <c r="FI21" s="701"/>
      <c r="FJ21" s="701"/>
      <c r="FK21" s="701"/>
      <c r="FL21" s="701"/>
      <c r="FM21" s="701"/>
      <c r="FN21" s="701"/>
      <c r="FO21" s="701"/>
      <c r="FP21" s="701"/>
      <c r="FQ21" s="701"/>
      <c r="FR21" s="701"/>
      <c r="FS21" s="701"/>
      <c r="FT21" s="701"/>
      <c r="FU21" s="701"/>
      <c r="FV21" s="702"/>
      <c r="FW21" s="697"/>
      <c r="FX21" s="663"/>
    </row>
    <row r="22" spans="1:185" s="533" customFormat="1" ht="24.75" customHeight="1">
      <c r="A22" s="533" t="s">
        <v>1032</v>
      </c>
      <c r="B22" s="534"/>
      <c r="E22"/>
      <c r="F22" s="44">
        <v>1</v>
      </c>
      <c r="G22" s="619" t="s">
        <v>1284</v>
      </c>
      <c r="H22" s="202" t="s">
        <v>1285</v>
      </c>
      <c r="I22" s="1049"/>
      <c r="J22" s="703"/>
      <c r="K22" s="703"/>
      <c r="L22" s="703"/>
      <c r="M22" s="703"/>
      <c r="N22" s="703"/>
      <c r="O22" s="704"/>
      <c r="P22" s="704"/>
      <c r="Q22" s="704"/>
      <c r="R22" s="704"/>
      <c r="S22" s="704"/>
      <c r="T22" s="704"/>
      <c r="U22" s="704"/>
      <c r="V22" s="704"/>
      <c r="W22" s="704"/>
      <c r="X22" s="704"/>
      <c r="Y22" s="704"/>
      <c r="Z22" s="704"/>
      <c r="AA22" s="704"/>
      <c r="AB22" s="704"/>
      <c r="AC22" s="703"/>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4">
        <v>0</v>
      </c>
      <c r="BU22" s="704">
        <v>0</v>
      </c>
      <c r="BV22" s="704">
        <v>7.86</v>
      </c>
      <c r="BW22" s="704">
        <v>7.07</v>
      </c>
      <c r="BX22" s="704">
        <v>0</v>
      </c>
      <c r="BY22" s="704">
        <v>0</v>
      </c>
      <c r="BZ22" s="704">
        <v>0</v>
      </c>
      <c r="CA22" s="704">
        <v>0</v>
      </c>
      <c r="CB22" s="704">
        <v>0</v>
      </c>
      <c r="CC22" s="704">
        <v>0</v>
      </c>
      <c r="CD22" s="704">
        <v>0</v>
      </c>
      <c r="CE22" s="704">
        <v>0</v>
      </c>
      <c r="CF22" s="704">
        <v>0</v>
      </c>
      <c r="CG22" s="704">
        <v>0</v>
      </c>
      <c r="CH22" s="704">
        <v>0</v>
      </c>
      <c r="CI22" s="704">
        <v>0</v>
      </c>
      <c r="CJ22" s="704">
        <v>0</v>
      </c>
      <c r="CK22" s="704">
        <v>0</v>
      </c>
      <c r="CL22" s="703"/>
      <c r="CM22" s="703"/>
      <c r="CN22" s="703"/>
      <c r="CO22" s="703"/>
      <c r="CP22" s="703"/>
      <c r="CQ22" s="703"/>
      <c r="CR22" s="703"/>
      <c r="CS22" s="703"/>
      <c r="CT22" s="703"/>
      <c r="CU22" s="703"/>
      <c r="CV22" s="703"/>
      <c r="CW22" s="703"/>
      <c r="CX22" s="703"/>
      <c r="CY22" s="704"/>
      <c r="CZ22" s="704"/>
      <c r="DA22" s="704"/>
      <c r="DB22" s="704"/>
      <c r="DC22" s="704"/>
      <c r="DD22" s="704"/>
      <c r="DE22" s="704"/>
      <c r="DF22" s="704"/>
      <c r="DG22" s="704"/>
      <c r="DH22" s="704"/>
      <c r="DI22" s="704"/>
      <c r="DJ22" s="704"/>
      <c r="DK22" s="703"/>
      <c r="DL22" s="703"/>
      <c r="DM22" s="703"/>
      <c r="DN22" s="703"/>
      <c r="DO22" s="703"/>
      <c r="DP22" s="703"/>
      <c r="DQ22" s="703"/>
      <c r="DR22" s="703"/>
      <c r="DS22" s="703"/>
      <c r="DT22" s="703"/>
      <c r="DU22" s="703"/>
      <c r="DV22" s="703"/>
      <c r="DW22" s="703"/>
      <c r="DX22" s="703"/>
      <c r="DY22" s="703"/>
      <c r="DZ22" s="703"/>
      <c r="EA22" s="703"/>
      <c r="EB22" s="703"/>
      <c r="EC22" s="703"/>
      <c r="ED22" s="703"/>
      <c r="EE22" s="703"/>
      <c r="EF22" s="703"/>
      <c r="EG22" s="703"/>
      <c r="EH22" s="703"/>
      <c r="EI22" s="703"/>
      <c r="EJ22" s="703"/>
      <c r="EK22" s="703"/>
      <c r="EL22" s="703"/>
      <c r="EM22" s="703"/>
      <c r="EN22" s="703"/>
      <c r="EO22" s="703"/>
      <c r="EP22" s="703"/>
      <c r="EQ22" s="703"/>
      <c r="ER22" s="703"/>
      <c r="ES22" s="703"/>
      <c r="ET22" s="703"/>
      <c r="EU22" s="703"/>
      <c r="EV22" s="703"/>
      <c r="EW22" s="703"/>
      <c r="EX22" s="703"/>
      <c r="EY22" s="703"/>
      <c r="EZ22" s="703"/>
      <c r="FA22" s="703"/>
      <c r="FB22" s="703"/>
      <c r="FC22" s="703"/>
      <c r="FD22" s="703"/>
      <c r="FE22" s="703"/>
      <c r="FF22" s="703"/>
      <c r="FG22" s="703"/>
      <c r="FH22" s="703"/>
      <c r="FI22" s="703"/>
      <c r="FJ22" s="703"/>
      <c r="FK22" s="703"/>
      <c r="FL22" s="703"/>
      <c r="FM22" s="703"/>
      <c r="FN22" s="703"/>
      <c r="FO22" s="703"/>
      <c r="FP22" s="703"/>
      <c r="FQ22" s="703"/>
      <c r="FR22" s="703"/>
      <c r="FS22" s="703"/>
      <c r="FT22" s="703"/>
      <c r="FU22" s="703"/>
      <c r="FV22" s="703"/>
      <c r="FW22" s="703"/>
      <c r="FX22" s="663"/>
    </row>
    <row r="23" spans="1:185" s="533" customFormat="1" ht="69" customHeight="1">
      <c r="A23" s="533" t="s">
        <v>22</v>
      </c>
      <c r="B23" s="534"/>
      <c r="E23" s="87" t="s">
        <v>122</v>
      </c>
      <c r="F23" s="44" t="s">
        <v>110</v>
      </c>
      <c r="G23" s="619" t="s">
        <v>1286</v>
      </c>
      <c r="H23" s="202" t="s">
        <v>1287</v>
      </c>
      <c r="I23" s="1049"/>
      <c r="J23" s="703"/>
      <c r="K23" s="703"/>
      <c r="L23" s="703"/>
      <c r="M23" s="703"/>
      <c r="N23" s="703"/>
      <c r="O23" s="704"/>
      <c r="P23" s="704"/>
      <c r="Q23" s="704"/>
      <c r="R23" s="704"/>
      <c r="S23" s="704"/>
      <c r="T23" s="704"/>
      <c r="U23" s="704"/>
      <c r="V23" s="704"/>
      <c r="W23" s="704"/>
      <c r="X23" s="704"/>
      <c r="Y23" s="704"/>
      <c r="Z23" s="704"/>
      <c r="AA23" s="704"/>
      <c r="AB23" s="704"/>
      <c r="AC23" s="703"/>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703"/>
      <c r="BB23" s="703"/>
      <c r="BC23" s="703"/>
      <c r="BD23" s="703"/>
      <c r="BE23" s="703"/>
      <c r="BF23" s="703"/>
      <c r="BG23" s="703"/>
      <c r="BH23" s="703"/>
      <c r="BI23" s="703"/>
      <c r="BJ23" s="703"/>
      <c r="BK23" s="703"/>
      <c r="BL23" s="703"/>
      <c r="BM23" s="703"/>
      <c r="BN23" s="703"/>
      <c r="BO23" s="703"/>
      <c r="BP23" s="703"/>
      <c r="BQ23" s="703"/>
      <c r="BR23" s="703"/>
      <c r="BS23" s="703"/>
      <c r="BT23" s="704">
        <v>0</v>
      </c>
      <c r="BU23" s="704">
        <v>0</v>
      </c>
      <c r="BV23" s="704">
        <v>0</v>
      </c>
      <c r="BW23" s="704">
        <v>0</v>
      </c>
      <c r="BX23" s="704">
        <v>0</v>
      </c>
      <c r="BY23" s="704">
        <v>0</v>
      </c>
      <c r="BZ23" s="704">
        <v>0</v>
      </c>
      <c r="CA23" s="704">
        <v>0</v>
      </c>
      <c r="CB23" s="704">
        <v>0</v>
      </c>
      <c r="CC23" s="704">
        <v>0</v>
      </c>
      <c r="CD23" s="704">
        <v>8.4700000000000006</v>
      </c>
      <c r="CE23" s="704">
        <v>8.43</v>
      </c>
      <c r="CF23" s="704">
        <v>0</v>
      </c>
      <c r="CG23" s="704">
        <v>0</v>
      </c>
      <c r="CH23" s="704">
        <v>0.82</v>
      </c>
      <c r="CI23" s="704">
        <v>0.74</v>
      </c>
      <c r="CJ23" s="704">
        <v>0.09</v>
      </c>
      <c r="CK23" s="704">
        <v>0.09</v>
      </c>
      <c r="CL23" s="703"/>
      <c r="CM23" s="703"/>
      <c r="CN23" s="703"/>
      <c r="CO23" s="703"/>
      <c r="CP23" s="703"/>
      <c r="CQ23" s="703"/>
      <c r="CR23" s="703"/>
      <c r="CS23" s="703"/>
      <c r="CT23" s="703"/>
      <c r="CU23" s="703"/>
      <c r="CV23" s="703"/>
      <c r="CW23" s="703"/>
      <c r="CX23" s="703"/>
      <c r="CY23" s="704"/>
      <c r="CZ23" s="704"/>
      <c r="DA23" s="704"/>
      <c r="DB23" s="704"/>
      <c r="DC23" s="704"/>
      <c r="DD23" s="704"/>
      <c r="DE23" s="704"/>
      <c r="DF23" s="704"/>
      <c r="DG23" s="704"/>
      <c r="DH23" s="704"/>
      <c r="DI23" s="704"/>
      <c r="DJ23" s="704"/>
      <c r="DK23" s="703"/>
      <c r="DL23" s="703"/>
      <c r="DM23" s="703"/>
      <c r="DN23" s="703"/>
      <c r="DO23" s="703"/>
      <c r="DP23" s="703"/>
      <c r="DQ23" s="703"/>
      <c r="DR23" s="703"/>
      <c r="DS23" s="703"/>
      <c r="DT23" s="703"/>
      <c r="DU23" s="703"/>
      <c r="DV23" s="703"/>
      <c r="DW23" s="703"/>
      <c r="DX23" s="703"/>
      <c r="DY23" s="703"/>
      <c r="DZ23" s="703"/>
      <c r="EA23" s="703"/>
      <c r="EB23" s="703"/>
      <c r="EC23" s="703"/>
      <c r="ED23" s="703"/>
      <c r="EE23" s="703"/>
      <c r="EF23" s="703"/>
      <c r="EG23" s="703"/>
      <c r="EH23" s="703"/>
      <c r="EI23" s="703"/>
      <c r="EJ23" s="703"/>
      <c r="EK23" s="703"/>
      <c r="EL23" s="703"/>
      <c r="EM23" s="703"/>
      <c r="EN23" s="703"/>
      <c r="EO23" s="703"/>
      <c r="EP23" s="703"/>
      <c r="EQ23" s="703"/>
      <c r="ER23" s="703"/>
      <c r="ES23" s="703"/>
      <c r="ET23" s="703"/>
      <c r="EU23" s="703"/>
      <c r="EV23" s="703"/>
      <c r="EW23" s="703"/>
      <c r="EX23" s="703"/>
      <c r="EY23" s="703"/>
      <c r="EZ23" s="703"/>
      <c r="FA23" s="703"/>
      <c r="FB23" s="703"/>
      <c r="FC23" s="703"/>
      <c r="FD23" s="703"/>
      <c r="FE23" s="703"/>
      <c r="FF23" s="703"/>
      <c r="FG23" s="703"/>
      <c r="FH23" s="703"/>
      <c r="FI23" s="703"/>
      <c r="FJ23" s="703"/>
      <c r="FK23" s="703"/>
      <c r="FL23" s="703"/>
      <c r="FM23" s="703"/>
      <c r="FN23" s="703"/>
      <c r="FO23" s="703"/>
      <c r="FP23" s="703"/>
      <c r="FQ23" s="703"/>
      <c r="FR23" s="703"/>
      <c r="FS23" s="703"/>
      <c r="FT23" s="703"/>
      <c r="FU23" s="703"/>
      <c r="FV23" s="703"/>
      <c r="FW23" s="703"/>
      <c r="FX23" s="663"/>
    </row>
    <row r="24" spans="1:185" s="533" customFormat="1" ht="12" customHeight="1">
      <c r="A24" s="533" t="s">
        <v>1032</v>
      </c>
      <c r="B24" s="534"/>
      <c r="F24" s="705"/>
      <c r="G24" s="706" t="s">
        <v>1288</v>
      </c>
      <c r="H24" s="706"/>
      <c r="I24" s="706"/>
      <c r="J24" s="706"/>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7"/>
      <c r="FX24" s="34"/>
      <c r="FY24" s="57"/>
      <c r="FZ24" s="57"/>
      <c r="GA24" s="57"/>
      <c r="GB24" s="57"/>
    </row>
    <row r="25" spans="1:185" s="533" customFormat="1" ht="12.75" customHeight="1">
      <c r="A25" s="57"/>
      <c r="B25" s="57"/>
      <c r="C25" s="57"/>
      <c r="D25" s="57"/>
      <c r="E25" s="57"/>
      <c r="F25" s="541"/>
      <c r="G25" s="541"/>
      <c r="H25" s="541"/>
      <c r="I25" s="541"/>
      <c r="J25" s="541"/>
      <c r="K25" s="541"/>
      <c r="L25" s="541"/>
      <c r="M25" s="541"/>
      <c r="N25" s="541"/>
      <c r="O25" s="541"/>
      <c r="P25" s="541"/>
      <c r="Q25" s="541"/>
      <c r="R25" s="541"/>
      <c r="S25" s="542"/>
      <c r="T25" s="542"/>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c r="DP25" s="541"/>
      <c r="DQ25" s="541"/>
      <c r="DR25" s="541"/>
      <c r="DS25" s="541"/>
      <c r="DT25" s="541"/>
      <c r="DU25" s="541"/>
      <c r="DV25" s="541"/>
      <c r="DW25" s="541"/>
      <c r="DX25" s="541"/>
      <c r="DY25" s="541"/>
      <c r="DZ25" s="541"/>
      <c r="EA25" s="541"/>
      <c r="EB25" s="541"/>
      <c r="EC25" s="541"/>
      <c r="ED25" s="541"/>
      <c r="EE25" s="541"/>
      <c r="EF25" s="541"/>
      <c r="EG25" s="541"/>
      <c r="EH25" s="541"/>
      <c r="EI25" s="541"/>
      <c r="EJ25" s="541"/>
      <c r="EK25" s="541"/>
      <c r="EL25" s="541"/>
      <c r="EM25" s="541"/>
      <c r="EN25" s="541"/>
      <c r="EO25" s="541"/>
      <c r="EP25" s="541"/>
      <c r="EQ25" s="541"/>
      <c r="ER25" s="541"/>
      <c r="ES25" s="541"/>
      <c r="ET25" s="541"/>
      <c r="EU25" s="541"/>
      <c r="EV25" s="541"/>
      <c r="EW25" s="541"/>
      <c r="EX25" s="541"/>
      <c r="EY25" s="541"/>
      <c r="EZ25" s="541"/>
      <c r="FA25" s="541"/>
      <c r="FB25" s="541"/>
      <c r="FC25" s="541"/>
      <c r="FD25" s="541"/>
      <c r="FE25" s="541"/>
      <c r="FF25" s="541"/>
      <c r="FG25" s="541"/>
      <c r="FH25" s="541"/>
      <c r="FI25" s="541"/>
      <c r="FJ25" s="541"/>
      <c r="FK25" s="541"/>
      <c r="FL25" s="541"/>
      <c r="FM25" s="541"/>
      <c r="FN25" s="541"/>
      <c r="FO25" s="541"/>
      <c r="FP25" s="541"/>
      <c r="FQ25" s="541"/>
      <c r="FR25" s="541"/>
      <c r="FS25" s="541"/>
      <c r="FT25" s="541"/>
      <c r="FU25" s="541"/>
      <c r="FV25" s="541"/>
      <c r="FW25" s="541"/>
      <c r="FX25" s="57"/>
      <c r="FY25" s="57"/>
      <c r="FZ25" s="57"/>
      <c r="GA25" s="57"/>
      <c r="GB25" s="57"/>
      <c r="GC25" s="533">
        <v>12</v>
      </c>
    </row>
    <row r="26" spans="1:185" s="533" customFormat="1" ht="12.75" customHeight="1">
      <c r="A26" s="57"/>
      <c r="B26" s="57"/>
      <c r="C26" s="57"/>
      <c r="D26" s="57"/>
      <c r="E26" s="57"/>
      <c r="FX26" s="57"/>
      <c r="FY26" s="57"/>
      <c r="FZ26" s="57"/>
      <c r="GA26" s="57"/>
      <c r="GB26" s="57"/>
      <c r="GC26" s="533">
        <v>12</v>
      </c>
    </row>
    <row r="27" spans="1:185" s="535" customFormat="1" ht="12.75" customHeight="1">
      <c r="A27" s="57"/>
      <c r="B27" s="57"/>
      <c r="C27" s="57"/>
      <c r="D27" s="57"/>
      <c r="E27" s="57"/>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626"/>
      <c r="BU27" s="626"/>
      <c r="BV27" s="626"/>
      <c r="BW27" s="626"/>
      <c r="BX27" s="626"/>
      <c r="BY27" s="626"/>
      <c r="BZ27" s="626"/>
      <c r="CA27" s="626"/>
      <c r="CB27" s="626"/>
      <c r="CC27" s="626"/>
      <c r="CD27" s="626"/>
      <c r="CE27" s="626"/>
      <c r="CF27" s="626"/>
      <c r="CG27" s="626"/>
      <c r="CH27" s="626"/>
      <c r="CI27" s="626"/>
      <c r="CJ27" s="626"/>
      <c r="CK27" s="626"/>
      <c r="CL27" s="626"/>
      <c r="CM27" s="626"/>
      <c r="CN27" s="626"/>
      <c r="CO27" s="626"/>
      <c r="CP27" s="626"/>
      <c r="CQ27" s="626"/>
      <c r="CR27" s="626"/>
      <c r="CS27" s="626"/>
      <c r="CT27" s="626"/>
      <c r="CU27" s="626"/>
      <c r="CV27" s="626"/>
      <c r="CW27" s="626"/>
      <c r="CX27" s="626"/>
      <c r="CY27" s="626"/>
      <c r="CZ27" s="626"/>
      <c r="DA27" s="626"/>
      <c r="DB27" s="626"/>
      <c r="DC27" s="626"/>
      <c r="DD27" s="626"/>
      <c r="DE27" s="626"/>
      <c r="DF27" s="626"/>
      <c r="DG27" s="626"/>
      <c r="DH27" s="626"/>
      <c r="DI27" s="626"/>
      <c r="DJ27" s="626"/>
      <c r="DK27" s="626"/>
      <c r="DL27" s="626"/>
      <c r="DM27" s="626"/>
      <c r="DN27" s="626"/>
      <c r="DO27" s="626"/>
      <c r="DP27" s="626"/>
      <c r="DQ27" s="626"/>
      <c r="DR27" s="626"/>
      <c r="DS27" s="626"/>
      <c r="DT27" s="626"/>
      <c r="DU27" s="626"/>
      <c r="DV27" s="626"/>
      <c r="DW27" s="626"/>
      <c r="DX27" s="626"/>
      <c r="FX27" s="57"/>
      <c r="FY27" s="57"/>
      <c r="FZ27" s="57"/>
      <c r="GA27" s="57"/>
      <c r="GB27" s="57"/>
      <c r="GC27" s="535">
        <v>12</v>
      </c>
    </row>
    <row r="28" spans="1:185" ht="12.75" customHeight="1">
      <c r="S28" s="57"/>
      <c r="T28" s="57"/>
      <c r="U28" s="57"/>
      <c r="V28" s="57"/>
      <c r="W28" s="57"/>
      <c r="X28" s="57"/>
      <c r="Y28" s="57"/>
      <c r="Z28" s="57"/>
      <c r="AA28" s="57"/>
      <c r="AB28" s="57"/>
      <c r="FX28" s="57"/>
      <c r="FY28" s="57"/>
      <c r="FZ28" s="57"/>
      <c r="GA28" s="57"/>
      <c r="GB28" s="57"/>
      <c r="GC28" s="535">
        <v>12</v>
      </c>
    </row>
    <row r="29" spans="1:185" ht="12" hidden="1" customHeight="1">
      <c r="A29" s="535" t="s">
        <v>82</v>
      </c>
      <c r="B29" s="536">
        <v>0</v>
      </c>
      <c r="C29" s="535">
        <v>0</v>
      </c>
      <c r="D29" s="535">
        <v>0</v>
      </c>
      <c r="E29" s="535">
        <v>3</v>
      </c>
      <c r="F29" s="535">
        <v>6</v>
      </c>
      <c r="G29" s="535">
        <v>18</v>
      </c>
      <c r="H29" s="535">
        <v>27</v>
      </c>
      <c r="I29" s="535">
        <v>18</v>
      </c>
      <c r="J29" s="535">
        <v>0</v>
      </c>
      <c r="K29" s="535">
        <v>0</v>
      </c>
      <c r="L29" s="535">
        <v>0</v>
      </c>
      <c r="M29" s="535">
        <v>0</v>
      </c>
      <c r="N29" s="535">
        <v>0</v>
      </c>
      <c r="O29" s="535">
        <v>0</v>
      </c>
      <c r="P29" s="535">
        <v>0</v>
      </c>
      <c r="Q29" s="535">
        <v>0</v>
      </c>
      <c r="R29" s="535">
        <v>0</v>
      </c>
      <c r="S29" s="535">
        <v>0</v>
      </c>
      <c r="T29" s="535">
        <v>0</v>
      </c>
      <c r="U29" s="535">
        <v>0</v>
      </c>
      <c r="V29" s="535">
        <v>0</v>
      </c>
      <c r="W29" s="535">
        <v>0</v>
      </c>
      <c r="X29" s="535">
        <v>0</v>
      </c>
      <c r="Y29" s="535">
        <v>0</v>
      </c>
      <c r="Z29" s="535">
        <v>0</v>
      </c>
      <c r="AA29" s="535">
        <v>0</v>
      </c>
      <c r="AB29" s="535">
        <v>0</v>
      </c>
      <c r="AC29" s="535">
        <v>0</v>
      </c>
      <c r="AD29" s="535">
        <v>0</v>
      </c>
      <c r="AE29" s="535">
        <v>0</v>
      </c>
      <c r="AF29" s="535">
        <v>0</v>
      </c>
      <c r="AG29" s="535">
        <v>0</v>
      </c>
      <c r="AH29" s="535">
        <v>0</v>
      </c>
      <c r="AI29" s="535">
        <v>0</v>
      </c>
      <c r="AJ29" s="535">
        <v>0</v>
      </c>
      <c r="AK29" s="535">
        <v>0</v>
      </c>
      <c r="AL29" s="535">
        <v>0</v>
      </c>
      <c r="AM29" s="535">
        <v>0</v>
      </c>
      <c r="AN29" s="535">
        <v>0</v>
      </c>
      <c r="AO29" s="535">
        <v>0</v>
      </c>
      <c r="AP29" s="535">
        <v>0</v>
      </c>
      <c r="AQ29" s="535">
        <v>0</v>
      </c>
      <c r="AR29" s="535">
        <v>0</v>
      </c>
      <c r="AS29" s="535">
        <v>0</v>
      </c>
      <c r="AT29" s="535">
        <v>0</v>
      </c>
      <c r="AU29" s="535">
        <v>0</v>
      </c>
      <c r="AV29" s="535">
        <v>0</v>
      </c>
      <c r="AW29" s="535">
        <v>0</v>
      </c>
      <c r="AX29" s="535">
        <v>0</v>
      </c>
      <c r="AY29" s="535">
        <v>0</v>
      </c>
      <c r="AZ29" s="535">
        <v>0</v>
      </c>
      <c r="BA29" s="535">
        <v>0</v>
      </c>
      <c r="BB29" s="535">
        <v>0</v>
      </c>
      <c r="BC29" s="535">
        <v>0</v>
      </c>
      <c r="BD29" s="535">
        <v>0</v>
      </c>
      <c r="BE29" s="535">
        <v>0</v>
      </c>
      <c r="BF29" s="535">
        <v>0</v>
      </c>
      <c r="BG29" s="535">
        <v>0</v>
      </c>
      <c r="BH29" s="535">
        <v>0</v>
      </c>
      <c r="BI29" s="535">
        <v>0</v>
      </c>
      <c r="BJ29" s="535">
        <v>0</v>
      </c>
      <c r="BK29" s="535">
        <v>0</v>
      </c>
      <c r="BL29" s="535">
        <v>0</v>
      </c>
      <c r="BM29" s="535">
        <v>0</v>
      </c>
      <c r="BN29" s="535">
        <v>0</v>
      </c>
      <c r="BO29" s="535">
        <v>0</v>
      </c>
      <c r="BP29" s="535">
        <v>0</v>
      </c>
      <c r="BQ29" s="535">
        <v>0</v>
      </c>
      <c r="BR29" s="535">
        <v>0</v>
      </c>
      <c r="BS29" s="535">
        <v>0</v>
      </c>
      <c r="BT29" s="535">
        <v>0</v>
      </c>
      <c r="BU29" s="535">
        <v>0</v>
      </c>
      <c r="BV29" s="535">
        <v>0</v>
      </c>
      <c r="BW29" s="535">
        <v>0</v>
      </c>
      <c r="BX29" s="535">
        <v>0</v>
      </c>
      <c r="BY29" s="535">
        <v>0</v>
      </c>
      <c r="BZ29" s="535">
        <v>0</v>
      </c>
      <c r="CA29" s="535">
        <v>0</v>
      </c>
      <c r="CB29" s="535">
        <v>0</v>
      </c>
      <c r="CC29" s="535">
        <v>0</v>
      </c>
      <c r="CD29" s="535">
        <v>0</v>
      </c>
      <c r="CE29" s="535">
        <v>0</v>
      </c>
      <c r="CF29" s="535">
        <v>0</v>
      </c>
      <c r="CG29" s="535">
        <v>0</v>
      </c>
      <c r="CH29" s="535">
        <v>0</v>
      </c>
      <c r="CI29" s="535">
        <v>0</v>
      </c>
      <c r="CJ29" s="535">
        <v>0</v>
      </c>
      <c r="CK29" s="535">
        <v>0</v>
      </c>
      <c r="CL29" s="535">
        <v>0</v>
      </c>
      <c r="CM29" s="535">
        <v>0</v>
      </c>
      <c r="CN29" s="535">
        <v>0</v>
      </c>
      <c r="CO29" s="535">
        <v>0</v>
      </c>
      <c r="CP29" s="535">
        <v>0</v>
      </c>
      <c r="CQ29" s="535">
        <v>0</v>
      </c>
      <c r="CR29" s="535">
        <v>0</v>
      </c>
      <c r="CS29" s="535">
        <v>0</v>
      </c>
      <c r="CT29" s="535">
        <v>0</v>
      </c>
      <c r="CU29" s="535">
        <v>0</v>
      </c>
      <c r="CV29" s="535">
        <v>0</v>
      </c>
      <c r="CW29" s="535">
        <v>0</v>
      </c>
      <c r="CX29" s="535">
        <v>0</v>
      </c>
      <c r="CY29" s="535">
        <v>0</v>
      </c>
      <c r="CZ29" s="535">
        <v>0</v>
      </c>
      <c r="DA29" s="535">
        <v>0</v>
      </c>
      <c r="DB29" s="535">
        <v>0</v>
      </c>
      <c r="DC29" s="535">
        <v>0</v>
      </c>
      <c r="DD29" s="535">
        <v>0</v>
      </c>
      <c r="DE29" s="535">
        <v>0</v>
      </c>
      <c r="DF29" s="535">
        <v>0</v>
      </c>
      <c r="DG29" s="535">
        <v>0</v>
      </c>
      <c r="DH29" s="535">
        <v>0</v>
      </c>
      <c r="DI29" s="535">
        <v>0</v>
      </c>
      <c r="DJ29" s="535">
        <v>0</v>
      </c>
      <c r="DK29" s="535">
        <v>0</v>
      </c>
      <c r="DL29" s="535">
        <v>0</v>
      </c>
      <c r="DM29" s="535">
        <v>0</v>
      </c>
      <c r="DN29" s="535">
        <v>0</v>
      </c>
      <c r="DO29" s="535">
        <v>0</v>
      </c>
      <c r="DP29" s="535">
        <v>0</v>
      </c>
      <c r="DQ29" s="535">
        <v>0</v>
      </c>
      <c r="DR29" s="535">
        <v>0</v>
      </c>
      <c r="DS29" s="535">
        <v>0</v>
      </c>
      <c r="DT29" s="535">
        <v>0</v>
      </c>
      <c r="DU29" s="535">
        <v>0</v>
      </c>
      <c r="DV29" s="535">
        <v>0</v>
      </c>
      <c r="DW29" s="535">
        <v>0</v>
      </c>
      <c r="DX29" s="535">
        <v>0</v>
      </c>
      <c r="DY29" s="535">
        <v>0</v>
      </c>
      <c r="DZ29" s="535">
        <v>0</v>
      </c>
      <c r="EA29" s="535">
        <v>0</v>
      </c>
      <c r="EB29" s="535">
        <v>0</v>
      </c>
      <c r="EC29" s="535">
        <v>0</v>
      </c>
      <c r="ED29" s="535">
        <v>0</v>
      </c>
      <c r="EE29" s="535">
        <v>0</v>
      </c>
      <c r="EF29" s="535">
        <v>0</v>
      </c>
      <c r="EG29" s="535">
        <v>0</v>
      </c>
      <c r="EH29" s="535">
        <v>0</v>
      </c>
      <c r="EI29" s="535">
        <v>0</v>
      </c>
      <c r="EJ29" s="535">
        <v>0</v>
      </c>
      <c r="EK29" s="535">
        <v>0</v>
      </c>
      <c r="EL29" s="535">
        <v>0</v>
      </c>
      <c r="EM29" s="535">
        <v>0</v>
      </c>
      <c r="EN29" s="535">
        <v>0</v>
      </c>
      <c r="EO29" s="535">
        <v>0</v>
      </c>
      <c r="EP29" s="535">
        <v>0</v>
      </c>
      <c r="EQ29" s="535">
        <v>0</v>
      </c>
      <c r="ER29" s="535">
        <v>0</v>
      </c>
      <c r="ES29" s="535">
        <v>0</v>
      </c>
      <c r="ET29" s="535">
        <v>0</v>
      </c>
      <c r="EU29" s="535">
        <v>0</v>
      </c>
      <c r="EV29" s="535">
        <v>0</v>
      </c>
      <c r="EW29" s="535">
        <v>0</v>
      </c>
      <c r="EX29" s="535">
        <v>0</v>
      </c>
      <c r="EY29" s="535">
        <v>0</v>
      </c>
      <c r="EZ29" s="535">
        <v>0</v>
      </c>
      <c r="FA29" s="535">
        <v>0</v>
      </c>
      <c r="FB29" s="535">
        <v>0</v>
      </c>
      <c r="FC29" s="535">
        <v>0</v>
      </c>
      <c r="FD29" s="535">
        <v>0</v>
      </c>
      <c r="FE29" s="535">
        <v>0</v>
      </c>
      <c r="FF29" s="535">
        <v>0</v>
      </c>
      <c r="FG29" s="535">
        <v>0</v>
      </c>
      <c r="FH29" s="535">
        <v>0</v>
      </c>
      <c r="FI29" s="535">
        <v>0</v>
      </c>
      <c r="FJ29" s="535">
        <v>0</v>
      </c>
      <c r="FK29" s="535">
        <v>0</v>
      </c>
      <c r="FL29" s="535">
        <v>0</v>
      </c>
      <c r="FM29" s="535">
        <v>0</v>
      </c>
      <c r="FN29" s="535">
        <v>0</v>
      </c>
      <c r="FO29" s="535">
        <v>0</v>
      </c>
      <c r="FP29" s="535">
        <v>0</v>
      </c>
      <c r="FQ29" s="535">
        <v>0</v>
      </c>
      <c r="FR29" s="535">
        <v>0</v>
      </c>
      <c r="FS29" s="535">
        <v>0</v>
      </c>
      <c r="FT29" s="535">
        <v>0</v>
      </c>
      <c r="FU29" s="535">
        <v>0</v>
      </c>
      <c r="FV29" s="535">
        <v>0</v>
      </c>
      <c r="FW29" s="535">
        <v>0</v>
      </c>
      <c r="FX29" s="535">
        <v>8</v>
      </c>
      <c r="FY29" s="535">
        <v>8</v>
      </c>
      <c r="FZ29" s="535">
        <v>8</v>
      </c>
      <c r="GA29" s="535">
        <v>8</v>
      </c>
      <c r="GB29" s="535">
        <v>8</v>
      </c>
      <c r="GC29"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H23"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I23" xr:uid="{00000000-0002-0000-2B00-000002000000}">
      <formula1>900</formula1>
    </dataValidation>
    <dataValidation type="decimal" allowBlank="1" showErrorMessage="1" errorTitle="Ошибка" error="Допускается ввод только действительных чисел!" sqref="CY22:DJ23 BT22:CK23 O22:AB23" xr:uid="{00000000-0002-0000-2B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V23"/>
  <sheetViews>
    <sheetView showGridLines="0" topLeftCell="C4" zoomScale="90" workbookViewId="0">
      <selection activeCell="K8" sqref="K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11" width="42.42578125" style="11" customWidth="1"/>
    <col min="12" max="12" width="93" style="63" customWidth="1"/>
    <col min="13" max="20" width="10" style="11" customWidth="1"/>
    <col min="21" max="21" width="10" style="302" customWidth="1"/>
    <col min="22" max="22" width="10.5703125" style="11" hidden="1"/>
  </cols>
  <sheetData>
    <row r="1" spans="1:22" s="63" customFormat="1" ht="15" hidden="1" customHeight="1">
      <c r="C1" s="301"/>
      <c r="H1" s="63">
        <v>4</v>
      </c>
      <c r="U1" s="236"/>
      <c r="V1" s="63" t="s">
        <v>14</v>
      </c>
    </row>
    <row r="2" spans="1:22" ht="22.5" hidden="1" customHeight="1">
      <c r="C2" s="1036" t="s">
        <v>122</v>
      </c>
      <c r="D2" s="43"/>
      <c r="E2" s="217"/>
      <c r="F2" s="41" t="str">
        <f>IF(TEMPLATE_SPHERE="HEAT","Гкал/час","тыс. куб. м/сутки")</f>
        <v>тыс. куб. м/сутки</v>
      </c>
      <c r="G2" s="386"/>
      <c r="H2" s="386"/>
      <c r="I2" s="386"/>
      <c r="J2" s="386"/>
      <c r="K2" s="386"/>
      <c r="L2" s="67"/>
      <c r="V2" s="11">
        <v>0</v>
      </c>
    </row>
    <row r="3" spans="1:22" s="63" customFormat="1" ht="15" hidden="1" customHeight="1">
      <c r="C3" s="301"/>
      <c r="U3" s="236"/>
      <c r="V3" s="63">
        <v>0</v>
      </c>
    </row>
    <row r="4" spans="1:22" ht="15.75" customHeight="1">
      <c r="V4" s="11">
        <v>15</v>
      </c>
    </row>
    <row r="5" spans="1:22" ht="39.75" customHeight="1">
      <c r="D5" s="12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74"/>
      <c r="F5" s="1274"/>
      <c r="G5" s="1274"/>
      <c r="H5" s="1274"/>
      <c r="I5" s="1105"/>
      <c r="J5" s="1105"/>
      <c r="K5" s="1105"/>
      <c r="V5" s="11">
        <v>38</v>
      </c>
    </row>
    <row r="6" spans="1:22" ht="15.75" customHeight="1">
      <c r="D6" s="1246" t="str">
        <f>IF(org=0,"Не определено",org)</f>
        <v>Сургутское городское муниципальное унитарное предприятие "Горводоканал"</v>
      </c>
      <c r="E6" s="1246"/>
      <c r="F6" s="1246"/>
      <c r="G6" s="1246"/>
      <c r="H6" s="1246"/>
      <c r="I6" s="1103"/>
      <c r="J6" s="1103"/>
      <c r="K6" s="1103"/>
      <c r="V6" s="11">
        <v>15</v>
      </c>
    </row>
    <row r="7" spans="1:22" s="11" customFormat="1" ht="15.75" customHeight="1">
      <c r="A7" s="8"/>
      <c r="C7" s="87"/>
      <c r="D7" s="342"/>
      <c r="E7" s="342"/>
      <c r="F7" s="342"/>
      <c r="G7" s="342"/>
      <c r="H7" s="435"/>
      <c r="I7" s="342" t="s">
        <v>22</v>
      </c>
      <c r="J7" s="342" t="s">
        <v>22</v>
      </c>
      <c r="K7" s="342" t="s">
        <v>22</v>
      </c>
      <c r="L7" s="63"/>
      <c r="U7" s="302"/>
      <c r="V7" s="11">
        <v>15</v>
      </c>
    </row>
    <row r="8" spans="1:22" ht="1.1499999999999999" customHeight="1">
      <c r="H8" s="63" t="s">
        <v>117</v>
      </c>
      <c r="I8" s="11" t="s">
        <v>123</v>
      </c>
      <c r="J8" s="11" t="s">
        <v>125</v>
      </c>
      <c r="K8" s="11" t="s">
        <v>127</v>
      </c>
      <c r="V8" s="11">
        <v>1</v>
      </c>
    </row>
    <row r="9" spans="1:22" ht="15.75" customHeight="1">
      <c r="D9" s="409"/>
      <c r="E9" s="1383" t="s">
        <v>105</v>
      </c>
      <c r="F9" s="1384"/>
      <c r="G9" s="467" t="str">
        <f>IF(G8="","",INDEX(DIFFERENTIATION_UNMERGE_VD,MATCH(G8,DIFFERENTIATION_ID_DIFF,0)))</f>
        <v/>
      </c>
      <c r="H9" s="467" t="str">
        <f>IF(H8="","",INDEX(DIFFERENTIATION_UNMERGE_VD,MATCH(H8,DIFFERENTIATION_ID_DIFF,0)))</f>
        <v>Холодное водоснабжение. Питьевая вода</v>
      </c>
      <c r="I9" s="467" t="str">
        <f>IF(I8="","",INDEX(DIFFERENTIATION_UNMERGE_VD,MATCH(I8,DIFFERENTIATION_ID_DIFF,0)))</f>
        <v>Транспортировка. Питьевая вода</v>
      </c>
      <c r="J9" s="467" t="str">
        <f>IF(J8="","",INDEX(DIFFERENTIATION_UNMERGE_VD,MATCH(J8,DIFFERENTIATION_ID_DIFF,0)))</f>
        <v>Подключение (технологическое присоединение) к централизованной системе водоснабжения</v>
      </c>
      <c r="K9" s="467" t="str">
        <f>IF(K8="","",INDEX(DIFFERENTIATION_UNMERGE_VD,MATCH(K8,DIFFERENTIATION_ID_DIFF,0)))</f>
        <v>Холодное водоснабжение. Подвозная вода</v>
      </c>
      <c r="L9" s="1159" t="s">
        <v>307</v>
      </c>
      <c r="V9" s="11">
        <v>15</v>
      </c>
    </row>
    <row r="10" spans="1:22" s="11" customFormat="1" ht="15.75" customHeight="1">
      <c r="A10" s="8"/>
      <c r="C10" s="87"/>
      <c r="D10" s="409"/>
      <c r="E10" s="1383" t="s">
        <v>568</v>
      </c>
      <c r="F10" s="1384"/>
      <c r="G10" s="467" t="str">
        <f>IF(G8="","",INDEX(DIFFERENTIATION_UNMERGE_AREA,MATCH(G8,DIFFERENTIATION_ID_DIFF,0)))</f>
        <v/>
      </c>
      <c r="H10" s="467" t="str">
        <f>IF(H8="","",INDEX(DIFFERENTIATION_UNMERGE_AREA,MATCH(H8,DIFFERENTIATION_ID_DIFF,0)))</f>
        <v>без дифференциации</v>
      </c>
      <c r="I10" s="467" t="str">
        <f>IF(I8="","",INDEX(DIFFERENTIATION_UNMERGE_AREA,MATCH(I8,DIFFERENTIATION_ID_DIFF,0)))</f>
        <v>без дифференциации</v>
      </c>
      <c r="J10" s="467" t="str">
        <f>IF(J8="","",INDEX(DIFFERENTIATION_UNMERGE_AREA,MATCH(J8,DIFFERENTIATION_ID_DIFF,0)))</f>
        <v>без дифференциации</v>
      </c>
      <c r="K10" s="467" t="str">
        <f>IF(K8="","",INDEX(DIFFERENTIATION_UNMERGE_AREA,MATCH(K8,DIFFERENTIATION_ID_DIFF,0)))</f>
        <v>без дифференциации</v>
      </c>
      <c r="L10" s="1159"/>
      <c r="U10" s="302"/>
      <c r="V10" s="11">
        <v>15</v>
      </c>
    </row>
    <row r="11" spans="1:22" s="11" customFormat="1" ht="15.75" customHeight="1">
      <c r="A11" s="8"/>
      <c r="C11" s="87"/>
      <c r="D11" s="409"/>
      <c r="E11" s="1383" t="s">
        <v>569</v>
      </c>
      <c r="F11" s="1384"/>
      <c r="G11" s="467" t="str">
        <f>IF(G8="","",INDEX(DIFFERENTIATION_UNMERGE_SYSTEM,MATCH(G8,DIFFERENTIATION_ID_DIFF,0)))</f>
        <v/>
      </c>
      <c r="H11" s="467" t="str">
        <f>IF(H8="","",INDEX(DIFFERENTIATION_UNMERGE_SYSTEM,MATCH(H8,DIFFERENTIATION_ID_DIFF,0)))</f>
        <v>без дифференциации</v>
      </c>
      <c r="I11" s="467" t="str">
        <f>IF(I8="","",INDEX(DIFFERENTIATION_UNMERGE_SYSTEM,MATCH(I8,DIFFERENTIATION_ID_DIFF,0)))</f>
        <v>без дифференциации</v>
      </c>
      <c r="J11" s="467" t="str">
        <f>IF(J8="","",INDEX(DIFFERENTIATION_UNMERGE_SYSTEM,MATCH(J8,DIFFERENTIATION_ID_DIFF,0)))</f>
        <v>без дифференциации</v>
      </c>
      <c r="K11" s="467" t="str">
        <f>IF(K8="","",INDEX(DIFFERENTIATION_UNMERGE_SYSTEM,MATCH(K8,DIFFERENTIATION_ID_DIFF,0)))</f>
        <v>без дифференциации</v>
      </c>
      <c r="L11" s="1159"/>
      <c r="U11" s="302"/>
      <c r="V11" s="11">
        <v>15</v>
      </c>
    </row>
    <row r="12" spans="1:22" s="11" customFormat="1" ht="15.75" customHeight="1">
      <c r="A12" s="8"/>
      <c r="C12" s="87"/>
      <c r="D12" s="1385" t="s">
        <v>306</v>
      </c>
      <c r="E12" s="1386"/>
      <c r="F12" s="1386"/>
      <c r="G12" s="512"/>
      <c r="H12" s="512"/>
      <c r="I12" s="512"/>
      <c r="J12" s="512"/>
      <c r="K12" s="512"/>
      <c r="L12" s="1159"/>
      <c r="U12" s="302"/>
      <c r="V12" s="11">
        <v>15</v>
      </c>
    </row>
    <row r="13" spans="1:22" ht="35.65" customHeight="1">
      <c r="D13" s="41" t="s">
        <v>88</v>
      </c>
      <c r="E13" s="41" t="s">
        <v>308</v>
      </c>
      <c r="F13" s="41" t="s">
        <v>570</v>
      </c>
      <c r="G13" s="389" t="s">
        <v>309</v>
      </c>
      <c r="H13" s="389" t="s">
        <v>309</v>
      </c>
      <c r="I13" s="389" t="s">
        <v>309</v>
      </c>
      <c r="J13" s="389" t="s">
        <v>309</v>
      </c>
      <c r="K13" s="389" t="s">
        <v>309</v>
      </c>
      <c r="L13" s="1159"/>
      <c r="V13" s="11">
        <v>34</v>
      </c>
    </row>
    <row r="14" spans="1:22" ht="15" hidden="1" customHeight="1">
      <c r="D14" s="344" t="s">
        <v>109</v>
      </c>
      <c r="E14" s="344" t="s">
        <v>110</v>
      </c>
      <c r="F14" s="344" t="s">
        <v>90</v>
      </c>
      <c r="G14" s="87" t="str">
        <f>G1&amp;".1"</f>
        <v>.1</v>
      </c>
      <c r="H14" s="87" t="str">
        <f>H1&amp;".1"</f>
        <v>4.1</v>
      </c>
      <c r="I14" s="87" t="str">
        <f>I1&amp;".1"</f>
        <v>.1</v>
      </c>
      <c r="J14" s="87" t="str">
        <f>J1&amp;".1"</f>
        <v>.1</v>
      </c>
      <c r="K14" s="87" t="str">
        <f>K1&amp;".1"</f>
        <v>.1</v>
      </c>
      <c r="L14" s="67"/>
      <c r="V14" s="11">
        <v>0</v>
      </c>
    </row>
    <row r="15" spans="1:22" ht="15.75" customHeight="1">
      <c r="A15" s="11"/>
      <c r="C15" s="77"/>
      <c r="D15" s="41">
        <v>1</v>
      </c>
      <c r="E15" s="152" t="str">
        <f>TP_P_A</f>
        <v xml:space="preserve">Количество поданных заявлений </v>
      </c>
      <c r="F15" s="41" t="s">
        <v>1289</v>
      </c>
      <c r="G15" s="390"/>
      <c r="H15" s="390"/>
      <c r="I15" s="390"/>
      <c r="J15" s="390"/>
      <c r="K15" s="390"/>
      <c r="L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5" s="11">
        <v>15</v>
      </c>
    </row>
    <row r="16" spans="1:22" ht="15.75" customHeight="1">
      <c r="A16" s="11"/>
      <c r="C16" s="77"/>
      <c r="D16" s="41">
        <v>2</v>
      </c>
      <c r="E16" s="152" t="str">
        <f>TP_P_B</f>
        <v xml:space="preserve">Количество исполненных заявлений </v>
      </c>
      <c r="F16" s="41" t="s">
        <v>1289</v>
      </c>
      <c r="G16" s="390"/>
      <c r="H16" s="390"/>
      <c r="I16" s="390"/>
      <c r="J16" s="390"/>
      <c r="K16" s="390"/>
      <c r="L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6" s="11">
        <v>15</v>
      </c>
    </row>
    <row r="17" spans="1:22" ht="77.650000000000006"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1289</v>
      </c>
      <c r="G17" s="390"/>
      <c r="H17" s="390"/>
      <c r="I17" s="390"/>
      <c r="J17" s="390"/>
      <c r="K17" s="390"/>
      <c r="L17" s="11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V17" s="11">
        <v>74</v>
      </c>
    </row>
    <row r="18" spans="1:22"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1" t="s">
        <v>312</v>
      </c>
      <c r="G18" s="391"/>
      <c r="H18" s="391"/>
      <c r="I18" s="391"/>
      <c r="J18" s="391"/>
      <c r="K18" s="391"/>
      <c r="L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11">
        <v>52</v>
      </c>
    </row>
    <row r="19" spans="1:22" ht="60" customHeight="1">
      <c r="A19" s="11"/>
      <c r="C19" s="77"/>
      <c r="D19" s="41">
        <v>5</v>
      </c>
      <c r="E19" s="1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1" t="str">
        <f>IF(TEMPLATE_SPHERE="HEAT","Гкал/час","тыс. куб. м/сутки")</f>
        <v>тыс. куб. м/сутки</v>
      </c>
      <c r="G19" s="392">
        <f>SUM(G20:G22)</f>
        <v>0</v>
      </c>
      <c r="H19" s="392">
        <f>SUM(H20:H22)</f>
        <v>0</v>
      </c>
      <c r="I19" s="392">
        <f>SUM(I20:I22)</f>
        <v>0</v>
      </c>
      <c r="J19" s="392">
        <f>SUM(J20:J22)</f>
        <v>0</v>
      </c>
      <c r="K19" s="392">
        <f>SUM(K20:K22)</f>
        <v>0</v>
      </c>
      <c r="L19" s="11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V19" s="11">
        <v>57</v>
      </c>
    </row>
    <row r="20" spans="1:22" ht="15" hidden="1" customHeight="1">
      <c r="D20" s="11" t="s">
        <v>1290</v>
      </c>
      <c r="E20" s="342"/>
      <c r="L20" s="970"/>
      <c r="V20" s="11">
        <v>0</v>
      </c>
    </row>
    <row r="21" spans="1:22" ht="29.25" customHeight="1">
      <c r="C21" s="77"/>
      <c r="D21" s="43" t="s">
        <v>319</v>
      </c>
      <c r="E21" s="119"/>
      <c r="F21" s="41" t="str">
        <f>IF(TEMPLATE_SPHERE="HEAT","Гкал/час","тыс. куб. м/сутки")</f>
        <v>тыс. куб. м/сутки</v>
      </c>
      <c r="G21" s="386"/>
      <c r="H21" s="386"/>
      <c r="I21" s="386"/>
      <c r="J21" s="386"/>
      <c r="K21" s="386"/>
      <c r="L21" s="1209"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V21" s="11">
        <v>28</v>
      </c>
    </row>
    <row r="22" spans="1:22" ht="15.75" customHeight="1">
      <c r="A22" s="11"/>
      <c r="C22" s="11"/>
      <c r="D22" s="40"/>
      <c r="E22" s="110" t="s">
        <v>1291</v>
      </c>
      <c r="F22" s="334"/>
      <c r="G22" s="334"/>
      <c r="H22" s="334"/>
      <c r="I22" s="334"/>
      <c r="J22" s="334"/>
      <c r="K22" s="334"/>
      <c r="L22" s="1211"/>
      <c r="U22" s="11"/>
      <c r="V22" s="11">
        <v>15</v>
      </c>
    </row>
    <row r="23" spans="1:22" ht="22.5" hidden="1" customHeight="1">
      <c r="A23" s="8" t="s">
        <v>82</v>
      </c>
      <c r="B23" s="11">
        <v>0</v>
      </c>
      <c r="C23" s="87">
        <v>4</v>
      </c>
      <c r="D23" s="11">
        <v>6</v>
      </c>
      <c r="E23" s="11">
        <v>36</v>
      </c>
      <c r="F23" s="11">
        <v>9</v>
      </c>
      <c r="G23" s="11">
        <v>0</v>
      </c>
      <c r="H23" s="11">
        <v>40</v>
      </c>
      <c r="I23" s="11">
        <v>0</v>
      </c>
      <c r="J23" s="11">
        <v>0</v>
      </c>
      <c r="K23" s="11">
        <v>0</v>
      </c>
      <c r="L23" s="63">
        <v>93</v>
      </c>
      <c r="M23" s="11">
        <v>10</v>
      </c>
      <c r="N23" s="11">
        <v>10</v>
      </c>
      <c r="O23" s="11">
        <v>10</v>
      </c>
      <c r="P23" s="11">
        <v>10</v>
      </c>
      <c r="Q23" s="11">
        <v>10</v>
      </c>
      <c r="R23" s="11">
        <v>10</v>
      </c>
      <c r="S23" s="11">
        <v>10</v>
      </c>
      <c r="T23" s="11">
        <v>10</v>
      </c>
      <c r="U23" s="302">
        <v>10</v>
      </c>
      <c r="V23" s="11">
        <v>23</v>
      </c>
    </row>
  </sheetData>
  <sheetProtection formatColumns="0" formatRows="0" insertRows="0" deleteColumns="0" deleteRows="0" sort="0" autoFilter="0"/>
  <mergeCells count="8">
    <mergeCell ref="L21:L22"/>
    <mergeCell ref="L9: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K18" xr:uid="{00000000-0002-0000-2C00-000001000000}">
      <formula1>900</formula1>
    </dataValidation>
    <dataValidation type="whole" allowBlank="1" showErrorMessage="1" errorTitle="Ошибка" error="Допускается ввод только неотрицательных целых чисел!" sqref="G15:K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K2 G21:K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1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216"/>
      <c r="F5" s="1216"/>
      <c r="G5" s="1217"/>
      <c r="Q5" s="11">
        <v>28</v>
      </c>
    </row>
    <row r="6" spans="1:17" s="11" customFormat="1" ht="18.75" customHeight="1">
      <c r="A6" s="33"/>
      <c r="B6" s="63"/>
      <c r="C6" s="28"/>
      <c r="D6" s="1268" t="str">
        <f>IF(org=0,"Не определено",org)</f>
        <v>Сургутское городское муниципальное унитарное предприятие "Горводоканал"</v>
      </c>
      <c r="E6" s="1269"/>
      <c r="F6" s="1269"/>
      <c r="G6" s="1270"/>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54" t="s">
        <v>306</v>
      </c>
      <c r="E9" s="1254"/>
      <c r="F9" s="1254"/>
      <c r="G9" s="1403" t="s">
        <v>307</v>
      </c>
      <c r="Q9" s="11">
        <v>14</v>
      </c>
    </row>
    <row r="10" spans="1:17" ht="24" customHeight="1">
      <c r="C10" s="28"/>
      <c r="D10" s="36" t="s">
        <v>88</v>
      </c>
      <c r="E10" s="39" t="s">
        <v>308</v>
      </c>
      <c r="F10" s="39" t="s">
        <v>396</v>
      </c>
      <c r="G10" s="1403"/>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9" t="s">
        <v>312</v>
      </c>
      <c r="G12" s="67"/>
      <c r="Q12" s="11">
        <v>62</v>
      </c>
    </row>
    <row r="13" spans="1:17" ht="24" customHeight="1">
      <c r="A13" s="34"/>
      <c r="C13" s="28"/>
      <c r="D13" s="64" t="s">
        <v>1191</v>
      </c>
      <c r="E13" s="10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312</v>
      </c>
      <c r="G13" s="67"/>
      <c r="Q13" s="11">
        <v>23</v>
      </c>
    </row>
    <row r="14" spans="1:17" ht="14.65" customHeight="1">
      <c r="A14" s="34"/>
      <c r="C14" s="28"/>
      <c r="D14" s="64" t="s">
        <v>1227</v>
      </c>
      <c r="E14" s="103"/>
      <c r="F14" s="117"/>
      <c r="G14" s="12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1292</v>
      </c>
      <c r="F15" s="108"/>
      <c r="G15" s="1211"/>
      <c r="Q15" s="11">
        <v>15</v>
      </c>
    </row>
    <row r="16" spans="1:17" ht="14.65" customHeight="1">
      <c r="A16" s="34"/>
      <c r="C16" s="28"/>
      <c r="D16" s="64" t="s">
        <v>1193</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9" t="s">
        <v>312</v>
      </c>
      <c r="G16" s="172"/>
      <c r="Q16" s="11">
        <v>14</v>
      </c>
    </row>
    <row r="17" spans="1:17" ht="14.65" customHeight="1">
      <c r="A17" s="34"/>
      <c r="C17" s="28"/>
      <c r="D17" s="64" t="s">
        <v>1235</v>
      </c>
      <c r="E17" s="103"/>
      <c r="F17" s="220"/>
      <c r="G17" s="12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1">
        <v>14</v>
      </c>
    </row>
    <row r="18" spans="1:17" s="11" customFormat="1" ht="21.95" customHeight="1">
      <c r="A18" s="34"/>
      <c r="B18" s="63"/>
      <c r="C18" s="28"/>
      <c r="D18" s="40"/>
      <c r="E18" s="111" t="s">
        <v>1293</v>
      </c>
      <c r="F18" s="51"/>
      <c r="G18" s="1211"/>
      <c r="I18" s="69"/>
      <c r="J18" s="69"/>
      <c r="Q18" s="11">
        <v>21</v>
      </c>
    </row>
    <row r="19" spans="1:17" s="11" customFormat="1" ht="256.5" hidden="1" customHeight="1">
      <c r="A19" s="34"/>
      <c r="B19" s="63"/>
      <c r="C19" s="28"/>
      <c r="D19" s="64" t="s">
        <v>1195</v>
      </c>
      <c r="E19" s="102" t="s">
        <v>1294</v>
      </c>
      <c r="F19" s="220"/>
      <c r="G19" s="172" t="s">
        <v>1295</v>
      </c>
      <c r="I19" s="69"/>
      <c r="J19" s="69"/>
      <c r="Q19" s="11">
        <v>0</v>
      </c>
    </row>
    <row r="20" spans="1:17" s="11" customFormat="1" ht="14.65" customHeight="1">
      <c r="A20" s="34"/>
      <c r="B20" s="63"/>
      <c r="C20" s="28"/>
      <c r="D20" s="252">
        <v>2</v>
      </c>
      <c r="E20" s="102" t="s">
        <v>1296</v>
      </c>
      <c r="F20" s="39" t="s">
        <v>312</v>
      </c>
      <c r="G20" s="172"/>
      <c r="I20" s="69"/>
      <c r="J20" s="69"/>
      <c r="Q20" s="11">
        <v>14</v>
      </c>
    </row>
    <row r="21" spans="1:17" s="11" customFormat="1" ht="18.75" hidden="1" customHeight="1">
      <c r="A21" s="34"/>
      <c r="B21" s="63"/>
      <c r="C21" s="28"/>
      <c r="D21" s="195" t="s">
        <v>653</v>
      </c>
      <c r="E21" s="194"/>
      <c r="F21" s="193"/>
      <c r="G21" s="201"/>
      <c r="H21" s="196"/>
      <c r="I21" s="69"/>
      <c r="J21" s="69"/>
      <c r="Q21" s="11">
        <v>0</v>
      </c>
    </row>
    <row r="22" spans="1:17" ht="15.75" customHeight="1">
      <c r="A22" s="34"/>
      <c r="C22" s="28"/>
      <c r="D22" s="40"/>
      <c r="E22" s="110" t="s">
        <v>328</v>
      </c>
      <c r="F22" s="51"/>
      <c r="G22" s="199"/>
      <c r="Q22" s="11">
        <v>15</v>
      </c>
    </row>
    <row r="23" spans="1:17" s="11" customFormat="1" ht="22.5" hidden="1" customHeight="1">
      <c r="A23" s="34"/>
      <c r="B23" s="63"/>
      <c r="C23" s="28"/>
      <c r="D23" s="64" t="s">
        <v>110</v>
      </c>
      <c r="E23" s="105" t="s">
        <v>1297</v>
      </c>
      <c r="F23" s="39" t="s">
        <v>312</v>
      </c>
      <c r="G23" s="67"/>
      <c r="I23" s="69"/>
      <c r="J23" s="69"/>
      <c r="Q23" s="11">
        <v>0</v>
      </c>
    </row>
    <row r="24" spans="1:17" s="11" customFormat="1" ht="14.25" hidden="1" customHeight="1">
      <c r="A24" s="34"/>
      <c r="B24" s="63"/>
      <c r="C24" s="28"/>
      <c r="D24" s="64" t="s">
        <v>725</v>
      </c>
      <c r="E24" s="102" t="s">
        <v>1298</v>
      </c>
      <c r="F24" s="39" t="s">
        <v>312</v>
      </c>
      <c r="G24" s="172"/>
      <c r="I24" s="69"/>
      <c r="J24" s="69"/>
      <c r="Q24" s="11">
        <v>0</v>
      </c>
    </row>
    <row r="25" spans="1:17" s="11" customFormat="1" ht="14.25" hidden="1" customHeight="1">
      <c r="A25" s="34"/>
      <c r="B25" s="63"/>
      <c r="C25" s="28"/>
      <c r="D25" s="64" t="s">
        <v>728</v>
      </c>
      <c r="E25" s="103"/>
      <c r="F25" s="220"/>
      <c r="G25" s="1209" t="s">
        <v>1299</v>
      </c>
      <c r="I25" s="69"/>
      <c r="J25" s="69"/>
      <c r="Q25" s="11">
        <v>0</v>
      </c>
    </row>
    <row r="26" spans="1:17" s="11" customFormat="1" ht="14.25" hidden="1" customHeight="1">
      <c r="A26" s="34"/>
      <c r="B26" s="63"/>
      <c r="C26" s="28"/>
      <c r="D26" s="40"/>
      <c r="E26" s="111" t="s">
        <v>1300</v>
      </c>
      <c r="F26" s="51"/>
      <c r="G26" s="1211"/>
      <c r="I26" s="69"/>
      <c r="J26" s="69"/>
      <c r="Q26" s="11">
        <v>0</v>
      </c>
    </row>
    <row r="27" spans="1:17" s="11" customFormat="1" ht="33.75" hidden="1" customHeight="1">
      <c r="A27" s="34"/>
      <c r="B27" s="63"/>
      <c r="C27" s="28"/>
      <c r="D27" s="64" t="s">
        <v>90</v>
      </c>
      <c r="E27" s="105" t="s">
        <v>1301</v>
      </c>
      <c r="F27" s="39" t="s">
        <v>312</v>
      </c>
      <c r="G27" s="67"/>
      <c r="I27" s="69"/>
      <c r="J27" s="69"/>
      <c r="Q27" s="11">
        <v>0</v>
      </c>
    </row>
    <row r="28" spans="1:17" s="11" customFormat="1" ht="22.5" hidden="1" customHeight="1">
      <c r="A28" s="34"/>
      <c r="B28" s="63"/>
      <c r="C28" s="28"/>
      <c r="D28" s="64" t="s">
        <v>330</v>
      </c>
      <c r="E28" s="102" t="s">
        <v>1302</v>
      </c>
      <c r="F28" s="39" t="s">
        <v>312</v>
      </c>
      <c r="G28" s="172"/>
      <c r="I28" s="69"/>
      <c r="J28" s="69"/>
      <c r="Q28" s="11">
        <v>0</v>
      </c>
    </row>
    <row r="29" spans="1:17" s="11" customFormat="1" ht="14.25" hidden="1" customHeight="1">
      <c r="A29" s="34"/>
      <c r="B29" s="63"/>
      <c r="C29" s="28"/>
      <c r="D29" s="64" t="s">
        <v>332</v>
      </c>
      <c r="E29" s="1101"/>
      <c r="F29" s="375"/>
      <c r="G29" s="1209" t="s">
        <v>1303</v>
      </c>
      <c r="I29" s="69"/>
      <c r="J29" s="69"/>
      <c r="Q29" s="11">
        <v>0</v>
      </c>
    </row>
    <row r="30" spans="1:17" s="11" customFormat="1" ht="14.25" hidden="1" customHeight="1">
      <c r="A30" s="34"/>
      <c r="B30" s="63"/>
      <c r="C30" s="28"/>
      <c r="D30" s="40"/>
      <c r="E30" s="111" t="s">
        <v>1300</v>
      </c>
      <c r="F30" s="51"/>
      <c r="G30" s="1211"/>
      <c r="I30" s="69"/>
      <c r="J30" s="69"/>
      <c r="Q30" s="11">
        <v>0</v>
      </c>
    </row>
    <row r="31" spans="1:17" ht="3" customHeight="1">
      <c r="Q31" s="11">
        <v>3</v>
      </c>
    </row>
    <row r="32" spans="1:17" ht="14.65" customHeight="1">
      <c r="D32" s="198"/>
      <c r="E32" s="197"/>
      <c r="F32" s="4"/>
      <c r="G32" s="4"/>
      <c r="H32" s="4"/>
      <c r="I32" s="4"/>
      <c r="J32" s="4"/>
      <c r="K32" s="4"/>
      <c r="L32" s="4"/>
      <c r="M32" s="4"/>
      <c r="N32" s="4"/>
      <c r="O32" s="4"/>
      <c r="P32" s="4"/>
      <c r="Q32" s="11">
        <v>14</v>
      </c>
    </row>
    <row r="33" spans="1:17" ht="14.65" customHeight="1">
      <c r="D33" s="198"/>
      <c r="E33" s="17"/>
      <c r="Q33" s="11">
        <v>14</v>
      </c>
    </row>
    <row r="34" spans="1:17" ht="14.65" customHeight="1">
      <c r="Q34" s="11">
        <v>14</v>
      </c>
    </row>
    <row r="35" spans="1:17" ht="14.65" customHeight="1">
      <c r="Q35" s="11">
        <v>14</v>
      </c>
    </row>
    <row r="36" spans="1:17" ht="22.5" hidden="1" customHeight="1">
      <c r="A36" s="33" t="s">
        <v>82</v>
      </c>
      <c r="B36" s="63">
        <v>0</v>
      </c>
      <c r="C36" s="29">
        <v>3</v>
      </c>
      <c r="D36" s="11">
        <v>6</v>
      </c>
      <c r="E36" s="11">
        <v>64</v>
      </c>
      <c r="F36" s="11">
        <v>64</v>
      </c>
      <c r="G36" s="11">
        <v>140</v>
      </c>
      <c r="H36" s="11">
        <v>10</v>
      </c>
      <c r="I36" s="69">
        <v>10</v>
      </c>
      <c r="J36" s="69">
        <v>10</v>
      </c>
      <c r="K36" s="11">
        <v>10</v>
      </c>
      <c r="L36" s="11">
        <v>10</v>
      </c>
      <c r="M36" s="11">
        <v>10</v>
      </c>
      <c r="N36" s="11">
        <v>10</v>
      </c>
      <c r="O36" s="11">
        <v>10</v>
      </c>
      <c r="P36" s="11">
        <v>10</v>
      </c>
      <c r="Q36" s="1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122</v>
      </c>
      <c r="D2" s="64"/>
      <c r="E2" s="106"/>
      <c r="F2" s="39"/>
      <c r="G2" s="39" t="s">
        <v>312</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122</v>
      </c>
      <c r="D4" s="64"/>
      <c r="E4" s="102" t="s">
        <v>1304</v>
      </c>
      <c r="F4" s="39"/>
      <c r="G4" s="151"/>
      <c r="H4" s="39" t="s">
        <v>312</v>
      </c>
      <c r="K4" s="69"/>
      <c r="L4" s="69"/>
      <c r="M4" s="11">
        <v>0</v>
      </c>
    </row>
    <row r="5" spans="1:13" s="11" customFormat="1" ht="14.25" hidden="1" customHeight="1">
      <c r="A5" s="506"/>
      <c r="B5" s="63"/>
      <c r="C5" s="29"/>
      <c r="K5" s="69"/>
      <c r="L5" s="69"/>
      <c r="M5" s="11">
        <v>0</v>
      </c>
    </row>
    <row r="6" spans="1:13" s="11" customFormat="1" ht="18.75" hidden="1" customHeight="1">
      <c r="A6" s="62"/>
      <c r="B6" s="63"/>
      <c r="C6" s="939" t="s">
        <v>122</v>
      </c>
      <c r="D6" s="64"/>
      <c r="E6" s="112" t="s">
        <v>1305</v>
      </c>
      <c r="F6" s="39"/>
      <c r="G6" s="151"/>
      <c r="H6" s="39" t="s">
        <v>312</v>
      </c>
      <c r="K6" s="69"/>
      <c r="L6" s="69"/>
      <c r="M6" s="11">
        <v>0</v>
      </c>
    </row>
    <row r="7" spans="1:13" s="11" customFormat="1" ht="14.25" hidden="1" customHeight="1">
      <c r="A7" s="506"/>
      <c r="B7" s="63"/>
      <c r="C7" s="29"/>
      <c r="K7" s="69"/>
      <c r="L7" s="69"/>
      <c r="M7" s="11">
        <v>0</v>
      </c>
    </row>
    <row r="8" spans="1:13" s="11" customFormat="1" ht="18.75" hidden="1" customHeight="1">
      <c r="A8" s="62"/>
      <c r="B8" s="63"/>
      <c r="C8" s="939" t="s">
        <v>122</v>
      </c>
      <c r="D8" s="64"/>
      <c r="E8" s="112" t="s">
        <v>1306</v>
      </c>
      <c r="F8" s="39"/>
      <c r="G8" s="151"/>
      <c r="H8" s="39" t="s">
        <v>312</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122</v>
      </c>
      <c r="D10" s="64"/>
      <c r="E10" s="112" t="s">
        <v>1307</v>
      </c>
      <c r="F10" s="39"/>
      <c r="G10" s="113"/>
      <c r="H10" s="39" t="s">
        <v>312</v>
      </c>
      <c r="K10" s="69"/>
      <c r="L10" s="69" t="s">
        <v>1308</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1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216"/>
      <c r="F14" s="1216"/>
      <c r="G14" s="1216"/>
      <c r="H14" s="1217"/>
      <c r="M14" s="11">
        <v>28</v>
      </c>
    </row>
    <row r="15" spans="1:13" s="11" customFormat="1" ht="14.65" customHeight="1">
      <c r="A15" s="506"/>
      <c r="B15" s="63"/>
      <c r="C15" s="28"/>
      <c r="D15" s="1268" t="str">
        <f>IF(org=0,"Не определено",org)</f>
        <v>Сургутское городское муниципальное унитарное предприятие "Горводоканал"</v>
      </c>
      <c r="E15" s="1269"/>
      <c r="F15" s="1269"/>
      <c r="G15" s="1269"/>
      <c r="H15" s="1270"/>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54" t="s">
        <v>306</v>
      </c>
      <c r="E18" s="1254"/>
      <c r="F18" s="1254"/>
      <c r="G18" s="1254"/>
      <c r="H18" s="1254"/>
      <c r="I18" s="1403" t="s">
        <v>307</v>
      </c>
      <c r="M18" s="11">
        <v>21</v>
      </c>
    </row>
    <row r="19" spans="1:13" ht="21.95" customHeight="1">
      <c r="C19" s="28"/>
      <c r="D19" s="36" t="s">
        <v>88</v>
      </c>
      <c r="E19" s="39" t="s">
        <v>308</v>
      </c>
      <c r="F19" s="39"/>
      <c r="G19" s="39" t="s">
        <v>309</v>
      </c>
      <c r="H19" s="39" t="s">
        <v>396</v>
      </c>
      <c r="I19" s="1403"/>
      <c r="M19" s="11">
        <v>21</v>
      </c>
    </row>
    <row r="20" spans="1:13" ht="12" hidden="1" customHeight="1">
      <c r="C20" s="28"/>
      <c r="D20" s="22"/>
      <c r="E20" s="22"/>
      <c r="F20" s="22"/>
      <c r="G20" s="22"/>
      <c r="H20" s="22"/>
      <c r="I20" s="22"/>
      <c r="M20" s="11">
        <v>0</v>
      </c>
    </row>
    <row r="21" spans="1:13" ht="14.65" customHeight="1">
      <c r="A21" s="62"/>
      <c r="C21" s="28"/>
      <c r="D21" s="64">
        <v>1</v>
      </c>
      <c r="E21" s="1515" t="s">
        <v>1309</v>
      </c>
      <c r="F21" s="1515"/>
      <c r="G21" s="1515"/>
      <c r="H21" s="1515"/>
      <c r="I21" s="114"/>
      <c r="M21" s="11">
        <v>14</v>
      </c>
    </row>
    <row r="22" spans="1:13" ht="21" customHeight="1">
      <c r="A22" s="62"/>
      <c r="C22" s="28"/>
      <c r="D22" s="64" t="s">
        <v>1191</v>
      </c>
      <c r="E22" s="102" t="s">
        <v>1310</v>
      </c>
      <c r="F22" s="39"/>
      <c r="G22" s="946"/>
      <c r="H22" s="39" t="s">
        <v>312</v>
      </c>
      <c r="I22" s="67" t="s">
        <v>1311</v>
      </c>
      <c r="M22" s="11">
        <v>20</v>
      </c>
    </row>
    <row r="23" spans="1:13" ht="60" customHeight="1">
      <c r="A23" s="62"/>
      <c r="C23" s="28"/>
      <c r="D23" s="64" t="s">
        <v>1193</v>
      </c>
      <c r="E23" s="102" t="s">
        <v>1312</v>
      </c>
      <c r="F23" s="39"/>
      <c r="G23" s="151"/>
      <c r="H23" s="117"/>
      <c r="I23" s="152" t="s">
        <v>1313</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9"/>
      <c r="G24" s="39" t="s">
        <v>312</v>
      </c>
      <c r="H24" s="117"/>
      <c r="I24" s="153" t="s">
        <v>648</v>
      </c>
      <c r="M24" s="11">
        <v>14</v>
      </c>
    </row>
    <row r="25" spans="1:13" ht="48.2" customHeight="1">
      <c r="A25" s="62"/>
      <c r="C25" s="28"/>
      <c r="D25" s="64">
        <v>3</v>
      </c>
      <c r="E25" s="15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515"/>
      <c r="G25" s="1515"/>
      <c r="H25" s="1515"/>
      <c r="I25" s="114"/>
      <c r="M25" s="11">
        <v>46</v>
      </c>
    </row>
    <row r="26" spans="1:13" ht="14.65" customHeight="1">
      <c r="A26" s="62"/>
      <c r="C26" s="28"/>
      <c r="D26" s="64" t="s">
        <v>330</v>
      </c>
      <c r="E26" s="106"/>
      <c r="F26" s="39"/>
      <c r="G26" s="39" t="s">
        <v>312</v>
      </c>
      <c r="H26" s="117"/>
      <c r="I26" s="1209" t="s">
        <v>1314</v>
      </c>
      <c r="M26" s="11">
        <v>14</v>
      </c>
    </row>
    <row r="27" spans="1:13" ht="15.75" customHeight="1">
      <c r="A27" s="62" t="s">
        <v>109</v>
      </c>
      <c r="C27" s="28"/>
      <c r="D27" s="40"/>
      <c r="E27" s="110" t="s">
        <v>328</v>
      </c>
      <c r="F27" s="111"/>
      <c r="G27" s="111"/>
      <c r="H27" s="108"/>
      <c r="I27" s="1211"/>
      <c r="M27" s="11">
        <v>15</v>
      </c>
    </row>
    <row r="28" spans="1:13" ht="39.75" customHeight="1">
      <c r="A28" s="62"/>
      <c r="B28" s="63">
        <v>3</v>
      </c>
      <c r="C28" s="28"/>
      <c r="D28" s="64">
        <v>4</v>
      </c>
      <c r="E28" s="15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515"/>
      <c r="G28" s="1515"/>
      <c r="H28" s="1515"/>
      <c r="I28" s="114"/>
      <c r="M28" s="11">
        <v>38</v>
      </c>
    </row>
    <row r="29" spans="1:13" ht="21" customHeight="1">
      <c r="A29" s="62"/>
      <c r="C29" s="28"/>
      <c r="D29" s="64" t="s">
        <v>776</v>
      </c>
      <c r="E29" s="102" t="s">
        <v>1304</v>
      </c>
      <c r="F29" s="39"/>
      <c r="G29" s="151"/>
      <c r="H29" s="39" t="s">
        <v>312</v>
      </c>
      <c r="I29" s="1209" t="s">
        <v>1315</v>
      </c>
      <c r="M29" s="11">
        <v>20</v>
      </c>
    </row>
    <row r="30" spans="1:13" ht="15.75" customHeight="1">
      <c r="A30" s="62" t="s">
        <v>110</v>
      </c>
      <c r="C30" s="28"/>
      <c r="D30" s="40"/>
      <c r="E30" s="110" t="s">
        <v>328</v>
      </c>
      <c r="F30" s="111"/>
      <c r="G30" s="111"/>
      <c r="H30" s="108"/>
      <c r="I30" s="1211"/>
      <c r="M30" s="11">
        <v>15</v>
      </c>
    </row>
    <row r="31" spans="1:13" ht="31.5" customHeight="1">
      <c r="A31" s="62"/>
      <c r="B31" s="63">
        <v>3</v>
      </c>
      <c r="C31" s="28"/>
      <c r="D31" s="64">
        <v>5</v>
      </c>
      <c r="E31" s="15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515"/>
      <c r="G31" s="1515"/>
      <c r="H31" s="1515"/>
      <c r="I31" s="114"/>
      <c r="M31" s="11">
        <v>30</v>
      </c>
    </row>
    <row r="32" spans="1:13" ht="27.4" customHeight="1">
      <c r="A32" s="62"/>
      <c r="C32" s="28"/>
      <c r="D32" s="64" t="s">
        <v>319</v>
      </c>
      <c r="E32" s="14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416"/>
      <c r="G32" s="1416"/>
      <c r="H32" s="1416"/>
      <c r="I32" s="114"/>
      <c r="M32" s="11">
        <v>26</v>
      </c>
    </row>
    <row r="33" spans="1:13" ht="14.65" customHeight="1">
      <c r="A33" s="62"/>
      <c r="C33" s="28"/>
      <c r="D33" s="64" t="s">
        <v>1316</v>
      </c>
      <c r="E33" s="112" t="s">
        <v>1305</v>
      </c>
      <c r="F33" s="39"/>
      <c r="G33" s="151"/>
      <c r="H33" s="39" t="s">
        <v>312</v>
      </c>
      <c r="I33" s="1209" t="s">
        <v>1317</v>
      </c>
      <c r="M33" s="11">
        <v>14</v>
      </c>
    </row>
    <row r="34" spans="1:13" ht="15.75" customHeight="1">
      <c r="A34" s="62" t="s">
        <v>90</v>
      </c>
      <c r="C34" s="28"/>
      <c r="D34" s="40"/>
      <c r="E34" s="111" t="s">
        <v>328</v>
      </c>
      <c r="F34" s="107"/>
      <c r="G34" s="107"/>
      <c r="H34" s="108"/>
      <c r="I34" s="1211"/>
      <c r="M34" s="11">
        <v>15</v>
      </c>
    </row>
    <row r="35" spans="1:13" ht="25.15" customHeight="1">
      <c r="A35" s="62"/>
      <c r="C35" s="28"/>
      <c r="D35" s="64" t="s">
        <v>916</v>
      </c>
      <c r="E35" s="14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416"/>
      <c r="G35" s="1416"/>
      <c r="H35" s="1416"/>
      <c r="I35" s="114"/>
      <c r="M35" s="11">
        <v>24</v>
      </c>
    </row>
    <row r="36" spans="1:13" ht="14.65" customHeight="1">
      <c r="A36" s="62"/>
      <c r="C36" s="28"/>
      <c r="D36" s="64" t="s">
        <v>1318</v>
      </c>
      <c r="E36" s="112" t="s">
        <v>1306</v>
      </c>
      <c r="F36" s="39"/>
      <c r="G36" s="151"/>
      <c r="H36" s="39" t="s">
        <v>312</v>
      </c>
      <c r="I36" s="1187" t="s">
        <v>1319</v>
      </c>
      <c r="M36" s="11">
        <v>14</v>
      </c>
    </row>
    <row r="37" spans="1:13" ht="15.75" customHeight="1">
      <c r="A37" s="62" t="s">
        <v>91</v>
      </c>
      <c r="C37" s="28"/>
      <c r="D37" s="40"/>
      <c r="E37" s="111" t="s">
        <v>328</v>
      </c>
      <c r="F37" s="107"/>
      <c r="G37" s="107"/>
      <c r="H37" s="108"/>
      <c r="I37" s="1187"/>
      <c r="M37" s="11">
        <v>15</v>
      </c>
    </row>
    <row r="38" spans="1:13" ht="27.4" customHeight="1">
      <c r="A38" s="62"/>
      <c r="C38" s="28"/>
      <c r="D38" s="64" t="s">
        <v>917</v>
      </c>
      <c r="E38" s="14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416"/>
      <c r="G38" s="1416"/>
      <c r="H38" s="1416"/>
      <c r="I38" s="114"/>
      <c r="M38" s="11">
        <v>26</v>
      </c>
    </row>
    <row r="39" spans="1:13" ht="14.65" customHeight="1">
      <c r="A39" s="62"/>
      <c r="C39" s="28"/>
      <c r="D39" s="64" t="s">
        <v>918</v>
      </c>
      <c r="E39" s="112" t="s">
        <v>1307</v>
      </c>
      <c r="F39" s="39"/>
      <c r="G39" s="113"/>
      <c r="H39" s="39" t="s">
        <v>312</v>
      </c>
      <c r="I39" s="1209" t="s">
        <v>1320</v>
      </c>
      <c r="L39" s="69" t="s">
        <v>1308</v>
      </c>
      <c r="M39" s="11">
        <v>14</v>
      </c>
    </row>
    <row r="40" spans="1:13" ht="15.75" customHeight="1">
      <c r="A40" s="62" t="s">
        <v>111</v>
      </c>
      <c r="C40" s="28"/>
      <c r="D40" s="40"/>
      <c r="E40" s="111" t="s">
        <v>328</v>
      </c>
      <c r="F40" s="107"/>
      <c r="G40" s="107"/>
      <c r="H40" s="108"/>
      <c r="I40" s="1211"/>
      <c r="M40" s="11">
        <v>15</v>
      </c>
    </row>
    <row r="41" spans="1:13" s="34" customFormat="1" ht="3" customHeight="1">
      <c r="A41" s="62"/>
      <c r="K41" s="104"/>
      <c r="L41" s="104"/>
      <c r="M41" s="34">
        <v>3</v>
      </c>
    </row>
    <row r="42" spans="1:13" ht="26.25" customHeight="1">
      <c r="D42" s="198" t="s">
        <v>838</v>
      </c>
      <c r="E42" s="12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92"/>
      <c r="G42" s="1292"/>
      <c r="H42" s="1292"/>
      <c r="I42" s="1292"/>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163</v>
      </c>
      <c r="B2" s="34" t="s">
        <v>164</v>
      </c>
      <c r="C2" s="4"/>
      <c r="D2" s="29"/>
      <c r="E2" s="607"/>
      <c r="F2" s="607"/>
      <c r="G2" s="1492" t="str">
        <f>INDEX(PT_DIFFERENTIATION_NTAR,MATCH(B2,PT_DIFFERENTIATION_NTAR_ID,0))</f>
        <v/>
      </c>
      <c r="H2" s="763"/>
      <c r="I2" s="948"/>
      <c r="J2" s="974"/>
      <c r="K2" s="1005"/>
      <c r="L2" s="763" t="s">
        <v>312</v>
      </c>
      <c r="M2" s="1011"/>
      <c r="N2" s="196"/>
      <c r="O2" s="69"/>
      <c r="P2" s="69"/>
      <c r="AH2" s="11">
        <v>0</v>
      </c>
    </row>
    <row r="3" spans="1:34" s="11" customFormat="1" ht="18.75" hidden="1" customHeight="1">
      <c r="A3" s="34"/>
      <c r="B3" s="34"/>
      <c r="C3" s="4" t="s">
        <v>1321</v>
      </c>
      <c r="D3" s="29"/>
      <c r="E3" s="607"/>
      <c r="F3" s="607"/>
      <c r="G3" s="1492"/>
      <c r="H3" s="823"/>
      <c r="I3" s="52" t="s">
        <v>1322</v>
      </c>
      <c r="J3" s="111"/>
      <c r="K3" s="823"/>
      <c r="L3" s="108"/>
      <c r="M3" s="1011"/>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163</v>
      </c>
      <c r="B5" s="34" t="s">
        <v>164</v>
      </c>
      <c r="C5" s="4"/>
      <c r="D5" s="29"/>
      <c r="E5" s="607"/>
      <c r="F5" s="607"/>
      <c r="G5" s="1492" t="str">
        <f>INDEX(PT_DIFFERENTIATION_NTAR,MATCH(B5,PT_DIFFERENTIATION_NTAR_ID,0))</f>
        <v/>
      </c>
      <c r="H5" s="763"/>
      <c r="I5" s="948"/>
      <c r="J5" s="974"/>
      <c r="K5" s="366"/>
      <c r="L5" s="763" t="s">
        <v>312</v>
      </c>
      <c r="M5" s="1011"/>
      <c r="N5" s="196"/>
      <c r="O5" s="69"/>
      <c r="P5" s="69"/>
      <c r="AH5" s="11">
        <v>0</v>
      </c>
    </row>
    <row r="6" spans="1:34" s="11" customFormat="1" ht="18.75" hidden="1" customHeight="1">
      <c r="A6" s="34"/>
      <c r="B6" s="34"/>
      <c r="C6" s="4" t="s">
        <v>1323</v>
      </c>
      <c r="D6" s="29"/>
      <c r="E6" s="607"/>
      <c r="F6" s="607"/>
      <c r="G6" s="1492"/>
      <c r="H6" s="823"/>
      <c r="I6" s="52" t="s">
        <v>1322</v>
      </c>
      <c r="J6" s="111"/>
      <c r="K6" s="823"/>
      <c r="L6" s="108"/>
      <c r="M6" s="1011"/>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5"/>
      <c r="L8" s="763" t="s">
        <v>312</v>
      </c>
      <c r="M8" s="1011"/>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312</v>
      </c>
      <c r="M10" s="1011"/>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51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517"/>
      <c r="G14" s="1517"/>
      <c r="H14" s="1517"/>
      <c r="I14" s="1517"/>
      <c r="J14" s="1517"/>
      <c r="K14" s="1517"/>
      <c r="L14" s="1517"/>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85" t="str">
        <f>IF(TITLE_DATE_PR_CHANGE="",IF(TITLE_DATE_PR="","",TITLE_DATE_PR),TITLE_DATE_PR_CHANGE)</f>
        <v/>
      </c>
      <c r="H16" s="1285"/>
      <c r="I16" s="1285"/>
      <c r="J16" s="1285"/>
      <c r="K16" s="1285"/>
      <c r="L16" s="1285"/>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86" t="str">
        <f>IF(TITLE_NUMBER_PR_CHANGE="",IF(TITLE_NUMBER_PR="","",TITLE_NUMBER_PR),TITLE_NUMBER_PR_CHANGE)</f>
        <v/>
      </c>
      <c r="H17" s="1286"/>
      <c r="I17" s="1286"/>
      <c r="J17" s="1286"/>
      <c r="K17" s="1286"/>
      <c r="L17" s="1286"/>
      <c r="M17" s="196"/>
      <c r="AH17" s="11">
        <v>23</v>
      </c>
    </row>
    <row r="18" spans="1:34" ht="14.65" customHeight="1">
      <c r="D18" s="28"/>
      <c r="E18" s="10"/>
      <c r="F18" s="14"/>
      <c r="G18" s="14"/>
      <c r="H18" s="14"/>
      <c r="I18" s="14"/>
      <c r="J18" s="14"/>
      <c r="K18" s="14"/>
      <c r="L18" s="435"/>
      <c r="M18" s="101"/>
      <c r="AH18" s="11">
        <v>14</v>
      </c>
    </row>
    <row r="19" spans="1:34" ht="21.95" customHeight="1">
      <c r="D19" s="28"/>
      <c r="E19" s="1254" t="s">
        <v>306</v>
      </c>
      <c r="F19" s="1254"/>
      <c r="G19" s="1254"/>
      <c r="H19" s="1254"/>
      <c r="I19" s="1254"/>
      <c r="J19" s="1254"/>
      <c r="K19" s="1254"/>
      <c r="L19" s="1254"/>
      <c r="M19" s="1403" t="s">
        <v>307</v>
      </c>
      <c r="AH19" s="11">
        <v>21</v>
      </c>
    </row>
    <row r="20" spans="1:34" ht="21.95" customHeight="1">
      <c r="D20" s="28"/>
      <c r="E20" s="1310" t="s">
        <v>88</v>
      </c>
      <c r="F20" s="1260" t="s">
        <v>130</v>
      </c>
      <c r="G20" s="1260" t="s">
        <v>131</v>
      </c>
      <c r="H20" s="1400" t="s">
        <v>1324</v>
      </c>
      <c r="I20" s="1401"/>
      <c r="J20" s="1494"/>
      <c r="K20" s="1260" t="s">
        <v>309</v>
      </c>
      <c r="L20" s="1260" t="s">
        <v>396</v>
      </c>
      <c r="M20" s="1403"/>
      <c r="AH20" s="11">
        <v>21</v>
      </c>
    </row>
    <row r="21" spans="1:34" ht="21.95" customHeight="1">
      <c r="D21" s="28"/>
      <c r="E21" s="1312"/>
      <c r="F21" s="1261"/>
      <c r="G21" s="1261"/>
      <c r="H21" s="1259" t="s">
        <v>1325</v>
      </c>
      <c r="I21" s="1273"/>
      <c r="J21" s="39" t="s">
        <v>1326</v>
      </c>
      <c r="K21" s="1261"/>
      <c r="L21" s="1261"/>
      <c r="M21" s="1403"/>
      <c r="AH21" s="11">
        <v>21</v>
      </c>
    </row>
    <row r="22" spans="1:34" ht="12.75" customHeight="1">
      <c r="D22" s="28"/>
      <c r="E22" s="22"/>
      <c r="F22" s="22"/>
      <c r="G22" s="22"/>
      <c r="H22" s="1519"/>
      <c r="I22" s="1519"/>
      <c r="J22" s="22"/>
      <c r="K22" s="22"/>
      <c r="L22" s="22"/>
      <c r="M22" s="22"/>
      <c r="AH22" s="11">
        <v>12</v>
      </c>
    </row>
    <row r="23" spans="1:34" ht="19.899999999999999" customHeight="1">
      <c r="A23" s="34"/>
      <c r="B23" s="34"/>
      <c r="D23" s="28"/>
      <c r="E23" s="1006" t="s">
        <v>109</v>
      </c>
      <c r="F23" s="1520" t="str">
        <f>"Предлагаемый метод регулирования"&amp;IF(TEMPLATE_SPHERE="HEAT"," в сфере "&amp;TEMPLATE_SPHERE_RUS,"")</f>
        <v>Предлагаемый метод регулирования</v>
      </c>
      <c r="G23" s="1520"/>
      <c r="H23" s="1515"/>
      <c r="I23" s="1515"/>
      <c r="J23" s="1515"/>
      <c r="K23" s="1520" t="s">
        <v>312</v>
      </c>
      <c r="L23" s="1515"/>
      <c r="M23" s="153"/>
      <c r="N23" s="196"/>
      <c r="AH23" s="11">
        <v>19</v>
      </c>
    </row>
    <row r="24" spans="1:34" ht="60.75" hidden="1" customHeight="1">
      <c r="A24" s="34" t="s">
        <v>163</v>
      </c>
      <c r="B24" s="34" t="s">
        <v>164</v>
      </c>
      <c r="D24" s="1518"/>
      <c r="E24" s="1249"/>
      <c r="F24" s="152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92" t="str">
        <f>INDEX(PT_DIFFERENTIATION_NTAR,MATCH(B24,PT_DIFFERENTIATION_NTAR_ID,0))</f>
        <v/>
      </c>
      <c r="H24" s="763"/>
      <c r="I24" s="948"/>
      <c r="J24" s="974"/>
      <c r="K24" s="1005"/>
      <c r="L24" s="763" t="s">
        <v>312</v>
      </c>
      <c r="M24"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1321</v>
      </c>
      <c r="D25" s="1518"/>
      <c r="E25" s="1249"/>
      <c r="F25" s="1521"/>
      <c r="G25" s="1492"/>
      <c r="H25" s="823"/>
      <c r="I25" s="52" t="s">
        <v>1322</v>
      </c>
      <c r="J25" s="111"/>
      <c r="K25" s="823"/>
      <c r="L25" s="108"/>
      <c r="M25" s="1210"/>
      <c r="N25" s="196"/>
      <c r="O25" s="69"/>
      <c r="P25" s="69"/>
      <c r="AH25" s="11">
        <v>0</v>
      </c>
    </row>
    <row r="26" spans="1:34" ht="0.75" hidden="1" customHeight="1">
      <c r="A26" s="34"/>
      <c r="B26" s="34"/>
      <c r="C26" s="4" t="s">
        <v>1327</v>
      </c>
      <c r="D26" s="1518"/>
      <c r="E26" s="1249"/>
      <c r="F26" s="1390"/>
      <c r="G26" s="227"/>
      <c r="H26" s="823"/>
      <c r="I26" s="52"/>
      <c r="J26" s="111"/>
      <c r="K26" s="823"/>
      <c r="L26" s="108"/>
      <c r="M26" s="1210"/>
      <c r="N26" s="196"/>
      <c r="AH26" s="11">
        <v>0</v>
      </c>
    </row>
    <row r="27" spans="1:34" s="11" customFormat="1" ht="45" hidden="1" customHeight="1">
      <c r="A27" s="34" t="s">
        <v>168</v>
      </c>
      <c r="B27" s="34" t="s">
        <v>169</v>
      </c>
      <c r="C27" s="4"/>
      <c r="D27" s="1516"/>
      <c r="E27" s="1522"/>
      <c r="F27" s="1523" t="str">
        <f>INDEX(PT_DIFFERENTIATION_VTAR,MATCH(A27,PT_DIFFERENTIATION_VTAR_ID,0))</f>
        <v/>
      </c>
      <c r="G27" s="1492" t="str">
        <f>INDEX(PT_DIFFERENTIATION_NTAR,MATCH(B27,PT_DIFFERENTIATION_NTAR_ID,0))</f>
        <v/>
      </c>
      <c r="H27" s="763"/>
      <c r="I27" s="948"/>
      <c r="J27" s="974"/>
      <c r="K27" s="1005"/>
      <c r="L27" s="763" t="s">
        <v>312</v>
      </c>
      <c r="M27" s="1210"/>
      <c r="N27" s="196"/>
      <c r="O27" s="69"/>
      <c r="P27" s="69"/>
      <c r="AH27" s="11">
        <v>0</v>
      </c>
    </row>
    <row r="28" spans="1:34" s="11" customFormat="1" ht="18.75" hidden="1" customHeight="1">
      <c r="A28" s="34"/>
      <c r="B28" s="34"/>
      <c r="C28" s="4" t="s">
        <v>1321</v>
      </c>
      <c r="D28" s="1516"/>
      <c r="E28" s="1522"/>
      <c r="F28" s="1523"/>
      <c r="G28" s="1492"/>
      <c r="H28" s="823"/>
      <c r="I28" s="52" t="s">
        <v>1322</v>
      </c>
      <c r="J28" s="111"/>
      <c r="K28" s="823"/>
      <c r="L28" s="108"/>
      <c r="M28" s="1210"/>
      <c r="N28" s="196"/>
      <c r="O28" s="69"/>
      <c r="P28" s="69"/>
      <c r="AH28" s="11">
        <v>0</v>
      </c>
    </row>
    <row r="29" spans="1:34" s="11" customFormat="1" ht="0.75" hidden="1" customHeight="1">
      <c r="A29" s="34"/>
      <c r="B29" s="34"/>
      <c r="C29" s="4" t="s">
        <v>1327</v>
      </c>
      <c r="D29" s="1516"/>
      <c r="E29" s="1249"/>
      <c r="F29" s="1390"/>
      <c r="G29" s="227"/>
      <c r="H29" s="823"/>
      <c r="I29" s="52"/>
      <c r="J29" s="111"/>
      <c r="K29" s="823"/>
      <c r="L29" s="108"/>
      <c r="M29" s="1210"/>
      <c r="N29" s="196"/>
      <c r="O29" s="69"/>
      <c r="P29" s="69"/>
      <c r="AH29" s="11">
        <v>0</v>
      </c>
    </row>
    <row r="30" spans="1:34" s="11" customFormat="1" ht="45" hidden="1" customHeight="1">
      <c r="A30" s="34" t="s">
        <v>175</v>
      </c>
      <c r="B30" s="34" t="s">
        <v>176</v>
      </c>
      <c r="C30" s="4"/>
      <c r="D30" s="1516"/>
      <c r="E30" s="1249"/>
      <c r="F30" s="13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92" t="str">
        <f>INDEX(PT_DIFFERENTIATION_NTAR,MATCH(B30,PT_DIFFERENTIATION_NTAR_ID,0))</f>
        <v/>
      </c>
      <c r="H30" s="763"/>
      <c r="I30" s="948"/>
      <c r="J30" s="974"/>
      <c r="K30" s="1005"/>
      <c r="L30" s="763" t="s">
        <v>312</v>
      </c>
      <c r="M30" s="1210"/>
      <c r="N30" s="196"/>
      <c r="O30" s="69"/>
      <c r="P30" s="69"/>
      <c r="AH30" s="11">
        <v>0</v>
      </c>
    </row>
    <row r="31" spans="1:34" s="11" customFormat="1" ht="18.75" hidden="1" customHeight="1">
      <c r="A31" s="34"/>
      <c r="B31" s="34"/>
      <c r="C31" s="4" t="s">
        <v>1321</v>
      </c>
      <c r="D31" s="1516"/>
      <c r="E31" s="1249"/>
      <c r="F31" s="1390"/>
      <c r="G31" s="1492"/>
      <c r="H31" s="823"/>
      <c r="I31" s="52" t="s">
        <v>1322</v>
      </c>
      <c r="J31" s="111"/>
      <c r="K31" s="823"/>
      <c r="L31" s="108"/>
      <c r="M31" s="1210"/>
      <c r="N31" s="196"/>
      <c r="O31" s="69"/>
      <c r="P31" s="69"/>
      <c r="AH31" s="11">
        <v>0</v>
      </c>
    </row>
    <row r="32" spans="1:34" s="11" customFormat="1" ht="0.75" hidden="1" customHeight="1">
      <c r="A32" s="34"/>
      <c r="B32" s="34"/>
      <c r="C32" s="4" t="s">
        <v>1327</v>
      </c>
      <c r="D32" s="1516"/>
      <c r="E32" s="1249"/>
      <c r="F32" s="1390"/>
      <c r="G32" s="227"/>
      <c r="H32" s="823"/>
      <c r="I32" s="52"/>
      <c r="J32" s="111"/>
      <c r="K32" s="823"/>
      <c r="L32" s="108"/>
      <c r="M32" s="1210"/>
      <c r="N32" s="196"/>
      <c r="O32" s="69"/>
      <c r="P32" s="69"/>
      <c r="AH32" s="11">
        <v>0</v>
      </c>
    </row>
    <row r="33" spans="1:34" s="11" customFormat="1" ht="45" hidden="1" customHeight="1">
      <c r="A33" s="34" t="s">
        <v>181</v>
      </c>
      <c r="B33" s="34" t="s">
        <v>182</v>
      </c>
      <c r="C33" s="4"/>
      <c r="D33" s="1516"/>
      <c r="E33" s="1249"/>
      <c r="F33" s="13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92" t="str">
        <f>INDEX(PT_DIFFERENTIATION_NTAR,MATCH(B33,PT_DIFFERENTIATION_NTAR_ID,0))</f>
        <v/>
      </c>
      <c r="H33" s="763"/>
      <c r="I33" s="948"/>
      <c r="J33" s="974"/>
      <c r="K33" s="1005"/>
      <c r="L33" s="763" t="s">
        <v>312</v>
      </c>
      <c r="M33" s="1210"/>
      <c r="N33" s="196"/>
      <c r="O33" s="69"/>
      <c r="P33" s="69"/>
      <c r="AH33" s="11">
        <v>0</v>
      </c>
    </row>
    <row r="34" spans="1:34" s="11" customFormat="1" ht="18.75" hidden="1" customHeight="1">
      <c r="A34" s="34"/>
      <c r="B34" s="34"/>
      <c r="C34" s="4" t="s">
        <v>1321</v>
      </c>
      <c r="D34" s="1516"/>
      <c r="E34" s="1249"/>
      <c r="F34" s="1390"/>
      <c r="G34" s="1492"/>
      <c r="H34" s="823"/>
      <c r="I34" s="52" t="s">
        <v>1322</v>
      </c>
      <c r="J34" s="111"/>
      <c r="K34" s="823"/>
      <c r="L34" s="108"/>
      <c r="M34" s="1210"/>
      <c r="N34" s="196"/>
      <c r="O34" s="69"/>
      <c r="P34" s="69"/>
      <c r="AH34" s="11">
        <v>0</v>
      </c>
    </row>
    <row r="35" spans="1:34" s="11" customFormat="1" ht="0.75" hidden="1" customHeight="1">
      <c r="A35" s="34"/>
      <c r="B35" s="34"/>
      <c r="C35" s="4" t="s">
        <v>1327</v>
      </c>
      <c r="D35" s="1516"/>
      <c r="E35" s="1249"/>
      <c r="F35" s="1390"/>
      <c r="G35" s="227"/>
      <c r="H35" s="823"/>
      <c r="I35" s="52"/>
      <c r="J35" s="111"/>
      <c r="K35" s="823"/>
      <c r="L35" s="108"/>
      <c r="M35" s="1210"/>
      <c r="N35" s="196"/>
      <c r="O35" s="69"/>
      <c r="P35" s="69"/>
      <c r="AH35" s="11">
        <v>0</v>
      </c>
    </row>
    <row r="36" spans="1:34" s="11" customFormat="1" ht="18.75" hidden="1" customHeight="1">
      <c r="A36" s="34" t="s">
        <v>187</v>
      </c>
      <c r="B36" s="34" t="s">
        <v>188</v>
      </c>
      <c r="C36" s="4"/>
      <c r="D36" s="1516"/>
      <c r="E36" s="1249"/>
      <c r="F36" s="1390" t="str">
        <f>INDEX(PT_DIFFERENTIATION_VTAR,MATCH(A36,PT_DIFFERENTIATION_VTAR_ID,0))</f>
        <v>Тарифы на услуги по передаче тепловой энергии</v>
      </c>
      <c r="G36" s="1492" t="str">
        <f>INDEX(PT_DIFFERENTIATION_NTAR,MATCH(B36,PT_DIFFERENTIATION_NTAR_ID,0))</f>
        <v/>
      </c>
      <c r="H36" s="763"/>
      <c r="I36" s="948"/>
      <c r="J36" s="974"/>
      <c r="K36" s="1005"/>
      <c r="L36" s="763" t="s">
        <v>312</v>
      </c>
      <c r="M36" s="1210"/>
      <c r="N36" s="196"/>
      <c r="O36" s="69"/>
      <c r="P36" s="69"/>
      <c r="AH36" s="11">
        <v>0</v>
      </c>
    </row>
    <row r="37" spans="1:34" s="11" customFormat="1" ht="18.75" hidden="1" customHeight="1">
      <c r="A37" s="34"/>
      <c r="B37" s="34"/>
      <c r="C37" s="4" t="s">
        <v>1321</v>
      </c>
      <c r="D37" s="1516"/>
      <c r="E37" s="1249"/>
      <c r="F37" s="1390"/>
      <c r="G37" s="1492"/>
      <c r="H37" s="823"/>
      <c r="I37" s="52" t="s">
        <v>1322</v>
      </c>
      <c r="J37" s="111"/>
      <c r="K37" s="823"/>
      <c r="L37" s="108"/>
      <c r="M37" s="1210"/>
      <c r="N37" s="196"/>
      <c r="O37" s="69"/>
      <c r="P37" s="69"/>
      <c r="AH37" s="11">
        <v>0</v>
      </c>
    </row>
    <row r="38" spans="1:34" s="11" customFormat="1" ht="0.75" hidden="1" customHeight="1">
      <c r="A38" s="34"/>
      <c r="B38" s="34"/>
      <c r="C38" s="4" t="s">
        <v>1327</v>
      </c>
      <c r="D38" s="1516"/>
      <c r="E38" s="1249"/>
      <c r="F38" s="1390"/>
      <c r="G38" s="227"/>
      <c r="H38" s="823"/>
      <c r="I38" s="52"/>
      <c r="J38" s="111"/>
      <c r="K38" s="823"/>
      <c r="L38" s="108"/>
      <c r="M38" s="1210"/>
      <c r="N38" s="196"/>
      <c r="O38" s="69"/>
      <c r="P38" s="69"/>
      <c r="AH38" s="11">
        <v>0</v>
      </c>
    </row>
    <row r="39" spans="1:34" s="11" customFormat="1" ht="18.75" hidden="1" customHeight="1">
      <c r="A39" s="34" t="s">
        <v>193</v>
      </c>
      <c r="B39" s="34" t="s">
        <v>194</v>
      </c>
      <c r="C39" s="4"/>
      <c r="D39" s="1516"/>
      <c r="E39" s="1249"/>
      <c r="F39" s="1390" t="str">
        <f>INDEX(PT_DIFFERENTIATION_VTAR,MATCH(A39,PT_DIFFERENTIATION_VTAR_ID,0))</f>
        <v>Тарифы на услуги по передаче теплоносителя</v>
      </c>
      <c r="G39" s="1492" t="str">
        <f>INDEX(PT_DIFFERENTIATION_NTAR,MATCH(B39,PT_DIFFERENTIATION_NTAR_ID,0))</f>
        <v/>
      </c>
      <c r="H39" s="763"/>
      <c r="I39" s="948"/>
      <c r="J39" s="974"/>
      <c r="K39" s="1005"/>
      <c r="L39" s="763" t="s">
        <v>312</v>
      </c>
      <c r="M39" s="1210"/>
      <c r="N39" s="196"/>
      <c r="O39" s="69"/>
      <c r="P39" s="69"/>
      <c r="AH39" s="11">
        <v>0</v>
      </c>
    </row>
    <row r="40" spans="1:34" s="11" customFormat="1" ht="18.75" hidden="1" customHeight="1">
      <c r="A40" s="34"/>
      <c r="B40" s="34"/>
      <c r="C40" s="4" t="s">
        <v>1321</v>
      </c>
      <c r="D40" s="1516"/>
      <c r="E40" s="1249"/>
      <c r="F40" s="1390"/>
      <c r="G40" s="1492"/>
      <c r="H40" s="823"/>
      <c r="I40" s="52" t="s">
        <v>1322</v>
      </c>
      <c r="J40" s="111"/>
      <c r="K40" s="823"/>
      <c r="L40" s="108"/>
      <c r="M40" s="1210"/>
      <c r="N40" s="196"/>
      <c r="O40" s="69"/>
      <c r="P40" s="69"/>
      <c r="AH40" s="11">
        <v>0</v>
      </c>
    </row>
    <row r="41" spans="1:34" s="11" customFormat="1" ht="0.75" hidden="1" customHeight="1">
      <c r="A41" s="34"/>
      <c r="B41" s="34"/>
      <c r="C41" s="4" t="s">
        <v>1327</v>
      </c>
      <c r="D41" s="1516"/>
      <c r="E41" s="1249"/>
      <c r="F41" s="1390"/>
      <c r="G41" s="227"/>
      <c r="H41" s="823"/>
      <c r="I41" s="52"/>
      <c r="J41" s="111"/>
      <c r="K41" s="823"/>
      <c r="L41" s="108"/>
      <c r="M41" s="1210"/>
      <c r="N41" s="196"/>
      <c r="O41" s="69"/>
      <c r="P41" s="69"/>
      <c r="AH41" s="11">
        <v>0</v>
      </c>
    </row>
    <row r="42" spans="1:34" s="11" customFormat="1" ht="18.75" hidden="1" customHeight="1">
      <c r="A42" s="34" t="s">
        <v>199</v>
      </c>
      <c r="B42" s="34" t="s">
        <v>200</v>
      </c>
      <c r="C42" s="4"/>
      <c r="D42" s="1516"/>
      <c r="E42" s="1249"/>
      <c r="F42" s="1390" t="str">
        <f>INDEX(PT_DIFFERENTIATION_VTAR,MATCH(A42,PT_DIFFERENTIATION_VTAR_ID,0))</f>
        <v>Плата за услуги по поддержанию резервной тепловой мощности при отсутствии потребления тепловой энергии</v>
      </c>
      <c r="G42" s="1492" t="str">
        <f>INDEX(PT_DIFFERENTIATION_NTAR,MATCH(B42,PT_DIFFERENTIATION_NTAR_ID,0))</f>
        <v/>
      </c>
      <c r="H42" s="763"/>
      <c r="I42" s="948"/>
      <c r="J42" s="974"/>
      <c r="K42" s="1005"/>
      <c r="L42" s="763" t="s">
        <v>312</v>
      </c>
      <c r="M42" s="1210"/>
      <c r="N42" s="196"/>
      <c r="O42" s="69"/>
      <c r="P42" s="69"/>
      <c r="AH42" s="11">
        <v>0</v>
      </c>
    </row>
    <row r="43" spans="1:34" s="11" customFormat="1" ht="18.75" hidden="1" customHeight="1">
      <c r="A43" s="34"/>
      <c r="B43" s="34"/>
      <c r="C43" s="4" t="s">
        <v>1321</v>
      </c>
      <c r="D43" s="1516"/>
      <c r="E43" s="1249"/>
      <c r="F43" s="1390"/>
      <c r="G43" s="1492"/>
      <c r="H43" s="823"/>
      <c r="I43" s="52" t="s">
        <v>1322</v>
      </c>
      <c r="J43" s="111"/>
      <c r="K43" s="823"/>
      <c r="L43" s="108"/>
      <c r="M43" s="1210"/>
      <c r="N43" s="196"/>
      <c r="O43" s="69"/>
      <c r="P43" s="69"/>
      <c r="AH43" s="11">
        <v>0</v>
      </c>
    </row>
    <row r="44" spans="1:34" s="11" customFormat="1" ht="0.75" hidden="1" customHeight="1">
      <c r="A44" s="34"/>
      <c r="B44" s="34"/>
      <c r="C44" s="4" t="s">
        <v>1327</v>
      </c>
      <c r="D44" s="1516"/>
      <c r="E44" s="1249"/>
      <c r="F44" s="1390"/>
      <c r="G44" s="227"/>
      <c r="H44" s="823"/>
      <c r="I44" s="52"/>
      <c r="J44" s="111"/>
      <c r="K44" s="823"/>
      <c r="L44" s="108"/>
      <c r="M44" s="1210"/>
      <c r="N44" s="196"/>
      <c r="O44" s="69"/>
      <c r="P44" s="69"/>
      <c r="AH44" s="11">
        <v>0</v>
      </c>
    </row>
    <row r="45" spans="1:34" s="11" customFormat="1" ht="18.75" hidden="1" customHeight="1">
      <c r="A45" s="34" t="s">
        <v>205</v>
      </c>
      <c r="B45" s="34" t="s">
        <v>206</v>
      </c>
      <c r="C45" s="4"/>
      <c r="D45" s="1516"/>
      <c r="E45" s="1249"/>
      <c r="F45" s="1390" t="str">
        <f>INDEX(PT_DIFFERENTIATION_VTAR,MATCH(A45,PT_DIFFERENTIATION_VTAR_ID,0))</f>
        <v>Плата за подключение (технологическое присоединение) к системе теплоснабжения</v>
      </c>
      <c r="G45" s="1492" t="str">
        <f>INDEX(PT_DIFFERENTIATION_NTAR,MATCH(B45,PT_DIFFERENTIATION_NTAR_ID,0))</f>
        <v/>
      </c>
      <c r="H45" s="763"/>
      <c r="I45" s="1107"/>
      <c r="J45" s="1108"/>
      <c r="K45" s="320"/>
      <c r="L45" s="763" t="s">
        <v>312</v>
      </c>
      <c r="M45" s="1210"/>
      <c r="N45" s="196"/>
      <c r="O45" s="69"/>
      <c r="P45" s="69"/>
      <c r="AH45" s="11">
        <v>0</v>
      </c>
    </row>
    <row r="46" spans="1:34" s="11" customFormat="1" ht="18.75" hidden="1" customHeight="1">
      <c r="A46" s="34"/>
      <c r="B46" s="34"/>
      <c r="C46" s="4" t="s">
        <v>1321</v>
      </c>
      <c r="D46" s="1516"/>
      <c r="E46" s="1249"/>
      <c r="F46" s="1390"/>
      <c r="G46" s="1492"/>
      <c r="H46" s="823"/>
      <c r="I46" s="52" t="s">
        <v>1322</v>
      </c>
      <c r="J46" s="111"/>
      <c r="K46" s="823"/>
      <c r="L46" s="108"/>
      <c r="M46" s="1210"/>
      <c r="N46" s="196"/>
      <c r="O46" s="69"/>
      <c r="P46" s="69"/>
      <c r="AH46" s="11">
        <v>0</v>
      </c>
    </row>
    <row r="47" spans="1:34" s="11" customFormat="1" ht="0.75" hidden="1" customHeight="1">
      <c r="A47" s="34"/>
      <c r="B47" s="34"/>
      <c r="C47" s="4" t="s">
        <v>1327</v>
      </c>
      <c r="D47" s="1516"/>
      <c r="E47" s="1249"/>
      <c r="F47" s="1390"/>
      <c r="G47" s="227"/>
      <c r="H47" s="823"/>
      <c r="I47" s="52"/>
      <c r="J47" s="111"/>
      <c r="K47" s="823"/>
      <c r="L47" s="108"/>
      <c r="M47" s="1210"/>
      <c r="N47" s="196"/>
      <c r="O47" s="69"/>
      <c r="P47" s="69"/>
      <c r="AH47" s="11">
        <v>0</v>
      </c>
    </row>
    <row r="48" spans="1:34" s="11" customFormat="1" ht="18.75" hidden="1" customHeight="1">
      <c r="A48" s="34" t="s">
        <v>211</v>
      </c>
      <c r="B48" s="34" t="s">
        <v>212</v>
      </c>
      <c r="C48" s="4"/>
      <c r="D48" s="1516"/>
      <c r="E48" s="1249"/>
      <c r="F48" s="1390" t="str">
        <f>INDEX(PT_DIFFERENTIATION_VTAR,MATCH(A48,PT_DIFFERENTIATION_VTAR_ID,0))</f>
        <v>Плата за подключение (технологическое присоединение) к системе теплоснабжения (индивидуальная)</v>
      </c>
      <c r="G48" s="1492" t="str">
        <f>INDEX(PT_DIFFERENTIATION_NTAR,MATCH(B48,PT_DIFFERENTIATION_NTAR_ID,0))</f>
        <v/>
      </c>
      <c r="H48" s="763"/>
      <c r="I48" s="1107"/>
      <c r="J48" s="1108"/>
      <c r="K48" s="320"/>
      <c r="L48" s="763" t="s">
        <v>312</v>
      </c>
      <c r="M48" s="1210"/>
      <c r="N48" s="196"/>
      <c r="O48" s="69"/>
      <c r="P48" s="69"/>
      <c r="AH48" s="11">
        <v>0</v>
      </c>
    </row>
    <row r="49" spans="1:34" s="11" customFormat="1" ht="18.75" hidden="1" customHeight="1">
      <c r="A49" s="34"/>
      <c r="B49" s="34"/>
      <c r="C49" s="4" t="s">
        <v>1321</v>
      </c>
      <c r="D49" s="1516"/>
      <c r="E49" s="1249"/>
      <c r="F49" s="1390"/>
      <c r="G49" s="1492"/>
      <c r="H49" s="823"/>
      <c r="I49" s="52" t="s">
        <v>1322</v>
      </c>
      <c r="J49" s="111"/>
      <c r="K49" s="823"/>
      <c r="L49" s="108"/>
      <c r="M49" s="1210"/>
      <c r="N49" s="196"/>
      <c r="O49" s="69"/>
      <c r="P49" s="69"/>
      <c r="AH49" s="11">
        <v>0</v>
      </c>
    </row>
    <row r="50" spans="1:34" s="11" customFormat="1" ht="0.75" hidden="1" customHeight="1">
      <c r="A50" s="34"/>
      <c r="B50" s="34"/>
      <c r="C50" s="4" t="s">
        <v>1327</v>
      </c>
      <c r="D50" s="1516"/>
      <c r="E50" s="1249"/>
      <c r="F50" s="1390"/>
      <c r="G50" s="227"/>
      <c r="H50" s="823"/>
      <c r="I50" s="52"/>
      <c r="J50" s="111"/>
      <c r="K50" s="823"/>
      <c r="L50" s="108"/>
      <c r="M50" s="1210"/>
      <c r="N50" s="196"/>
      <c r="O50" s="69"/>
      <c r="P50" s="69"/>
      <c r="AH50" s="11">
        <v>0</v>
      </c>
    </row>
    <row r="51" spans="1:34" s="11" customFormat="1" ht="18.75" hidden="1" customHeight="1">
      <c r="A51" s="34" t="s">
        <v>231</v>
      </c>
      <c r="B51" s="34" t="s">
        <v>232</v>
      </c>
      <c r="C51" s="4"/>
      <c r="D51" s="1516"/>
      <c r="E51" s="1249"/>
      <c r="F51" s="1390" t="str">
        <f>INDEX(PT_DIFFERENTIATION_VTAR,MATCH(A51,PT_DIFFERENTIATION_VTAR_ID,0))</f>
        <v>Тариф на питьевую воду (питьевое водоснабжение)</v>
      </c>
      <c r="G51" s="1492" t="str">
        <f>INDEX(PT_DIFFERENTIATION_NTAR,MATCH(B51,PT_DIFFERENTIATION_NTAR_ID,0))</f>
        <v/>
      </c>
      <c r="H51" s="763"/>
      <c r="I51" s="948"/>
      <c r="J51" s="974"/>
      <c r="K51" s="1005"/>
      <c r="L51" s="763" t="s">
        <v>312</v>
      </c>
      <c r="M51" s="1210"/>
      <c r="N51" s="196"/>
      <c r="O51" s="69"/>
      <c r="P51" s="69"/>
      <c r="AH51" s="11">
        <v>0</v>
      </c>
    </row>
    <row r="52" spans="1:34" s="11" customFormat="1" ht="18.75" hidden="1" customHeight="1">
      <c r="A52" s="34"/>
      <c r="B52" s="34"/>
      <c r="C52" s="4" t="s">
        <v>1321</v>
      </c>
      <c r="D52" s="1516"/>
      <c r="E52" s="1249"/>
      <c r="F52" s="1390"/>
      <c r="G52" s="1492"/>
      <c r="H52" s="823"/>
      <c r="I52" s="52" t="s">
        <v>1322</v>
      </c>
      <c r="J52" s="111"/>
      <c r="K52" s="823"/>
      <c r="L52" s="108"/>
      <c r="M52" s="1210"/>
      <c r="N52" s="196"/>
      <c r="O52" s="69"/>
      <c r="P52" s="69"/>
      <c r="AH52" s="11">
        <v>0</v>
      </c>
    </row>
    <row r="53" spans="1:34" s="11" customFormat="1" ht="0.75" hidden="1" customHeight="1">
      <c r="A53" s="34"/>
      <c r="B53" s="34"/>
      <c r="C53" s="4" t="s">
        <v>1327</v>
      </c>
      <c r="D53" s="1516"/>
      <c r="E53" s="1249"/>
      <c r="F53" s="1390"/>
      <c r="G53" s="227"/>
      <c r="H53" s="823"/>
      <c r="I53" s="52"/>
      <c r="J53" s="111"/>
      <c r="K53" s="823"/>
      <c r="L53" s="108"/>
      <c r="M53" s="1210"/>
      <c r="N53" s="196"/>
      <c r="O53" s="69"/>
      <c r="P53" s="69"/>
      <c r="AH53" s="11">
        <v>0</v>
      </c>
    </row>
    <row r="54" spans="1:34" s="11" customFormat="1" ht="18.75" hidden="1" customHeight="1">
      <c r="A54" s="34" t="s">
        <v>236</v>
      </c>
      <c r="B54" s="34" t="s">
        <v>237</v>
      </c>
      <c r="C54" s="4"/>
      <c r="D54" s="1516"/>
      <c r="E54" s="1249"/>
      <c r="F54" s="1390" t="str">
        <f>INDEX(PT_DIFFERENTIATION_VTAR,MATCH(A54,PT_DIFFERENTIATION_VTAR_ID,0))</f>
        <v>Тариф на техническую воду</v>
      </c>
      <c r="G54" s="1492" t="str">
        <f>INDEX(PT_DIFFERENTIATION_NTAR,MATCH(B54,PT_DIFFERENTIATION_NTAR_ID,0))</f>
        <v/>
      </c>
      <c r="H54" s="763"/>
      <c r="I54" s="948"/>
      <c r="J54" s="974"/>
      <c r="K54" s="1005"/>
      <c r="L54" s="763" t="s">
        <v>312</v>
      </c>
      <c r="M54" s="1210"/>
      <c r="N54" s="196"/>
      <c r="O54" s="69"/>
      <c r="P54" s="69"/>
      <c r="AH54" s="11">
        <v>0</v>
      </c>
    </row>
    <row r="55" spans="1:34" s="11" customFormat="1" ht="18.75" hidden="1" customHeight="1">
      <c r="A55" s="34"/>
      <c r="B55" s="34"/>
      <c r="C55" s="4" t="s">
        <v>1321</v>
      </c>
      <c r="D55" s="1516"/>
      <c r="E55" s="1249"/>
      <c r="F55" s="1390"/>
      <c r="G55" s="1492"/>
      <c r="H55" s="823"/>
      <c r="I55" s="52" t="s">
        <v>1322</v>
      </c>
      <c r="J55" s="111"/>
      <c r="K55" s="823"/>
      <c r="L55" s="108"/>
      <c r="M55" s="1210"/>
      <c r="N55" s="196"/>
      <c r="O55" s="69"/>
      <c r="P55" s="69"/>
      <c r="AH55" s="11">
        <v>0</v>
      </c>
    </row>
    <row r="56" spans="1:34" s="11" customFormat="1" ht="0.75" hidden="1" customHeight="1">
      <c r="A56" s="34"/>
      <c r="B56" s="34"/>
      <c r="C56" s="4" t="s">
        <v>1327</v>
      </c>
      <c r="D56" s="1516"/>
      <c r="E56" s="1249"/>
      <c r="F56" s="1390"/>
      <c r="G56" s="227"/>
      <c r="H56" s="823"/>
      <c r="I56" s="52"/>
      <c r="J56" s="111"/>
      <c r="K56" s="823"/>
      <c r="L56" s="108"/>
      <c r="M56" s="1210"/>
      <c r="N56" s="196"/>
      <c r="O56" s="69"/>
      <c r="P56" s="69"/>
      <c r="AH56" s="11">
        <v>0</v>
      </c>
    </row>
    <row r="57" spans="1:34" s="11" customFormat="1" ht="18.75" hidden="1" customHeight="1">
      <c r="A57" s="34" t="s">
        <v>241</v>
      </c>
      <c r="B57" s="34" t="s">
        <v>242</v>
      </c>
      <c r="C57" s="4"/>
      <c r="D57" s="1516"/>
      <c r="E57" s="1249"/>
      <c r="F57" s="1390" t="str">
        <f>INDEX(PT_DIFFERENTIATION_VTAR,MATCH(A57,PT_DIFFERENTIATION_VTAR_ID,0))</f>
        <v>Тариф на транспортировку воды</v>
      </c>
      <c r="G57" s="1492" t="str">
        <f>INDEX(PT_DIFFERENTIATION_NTAR,MATCH(B57,PT_DIFFERENTIATION_NTAR_ID,0))</f>
        <v/>
      </c>
      <c r="H57" s="763"/>
      <c r="I57" s="948"/>
      <c r="J57" s="974"/>
      <c r="K57" s="1005"/>
      <c r="L57" s="763" t="s">
        <v>312</v>
      </c>
      <c r="M57" s="1210"/>
      <c r="N57" s="196"/>
      <c r="O57" s="69"/>
      <c r="P57" s="69"/>
      <c r="AH57" s="11">
        <v>0</v>
      </c>
    </row>
    <row r="58" spans="1:34" s="11" customFormat="1" ht="18.75" hidden="1" customHeight="1">
      <c r="A58" s="34"/>
      <c r="B58" s="34"/>
      <c r="C58" s="4" t="s">
        <v>1321</v>
      </c>
      <c r="D58" s="1516"/>
      <c r="E58" s="1249"/>
      <c r="F58" s="1390"/>
      <c r="G58" s="1492"/>
      <c r="H58" s="823"/>
      <c r="I58" s="52" t="s">
        <v>1322</v>
      </c>
      <c r="J58" s="111"/>
      <c r="K58" s="823"/>
      <c r="L58" s="108"/>
      <c r="M58" s="1210"/>
      <c r="N58" s="196"/>
      <c r="O58" s="69"/>
      <c r="P58" s="69"/>
      <c r="AH58" s="11">
        <v>0</v>
      </c>
    </row>
    <row r="59" spans="1:34" s="11" customFormat="1" ht="0.75" hidden="1" customHeight="1">
      <c r="A59" s="34"/>
      <c r="B59" s="34"/>
      <c r="C59" s="4" t="s">
        <v>1327</v>
      </c>
      <c r="D59" s="1516"/>
      <c r="E59" s="1249"/>
      <c r="F59" s="1390"/>
      <c r="G59" s="227"/>
      <c r="H59" s="823"/>
      <c r="I59" s="52"/>
      <c r="J59" s="111"/>
      <c r="K59" s="823"/>
      <c r="L59" s="108"/>
      <c r="M59" s="1210"/>
      <c r="N59" s="196"/>
      <c r="O59" s="69"/>
      <c r="P59" s="69"/>
      <c r="AH59" s="11">
        <v>0</v>
      </c>
    </row>
    <row r="60" spans="1:34" s="11" customFormat="1" ht="18.75" hidden="1" customHeight="1">
      <c r="A60" s="34" t="s">
        <v>246</v>
      </c>
      <c r="B60" s="34" t="s">
        <v>247</v>
      </c>
      <c r="C60" s="4"/>
      <c r="D60" s="1516"/>
      <c r="E60" s="1249"/>
      <c r="F60" s="1390" t="str">
        <f>INDEX(PT_DIFFERENTIATION_VTAR,MATCH(A60,PT_DIFFERENTIATION_VTAR_ID,0))</f>
        <v>Тариф на подвоз воды</v>
      </c>
      <c r="G60" s="1492" t="str">
        <f>INDEX(PT_DIFFERENTIATION_NTAR,MATCH(B60,PT_DIFFERENTIATION_NTAR_ID,0))</f>
        <v/>
      </c>
      <c r="H60" s="763"/>
      <c r="I60" s="948"/>
      <c r="J60" s="974"/>
      <c r="K60" s="1005"/>
      <c r="L60" s="763" t="s">
        <v>312</v>
      </c>
      <c r="M60" s="1210"/>
      <c r="N60" s="196"/>
      <c r="O60" s="69"/>
      <c r="P60" s="69"/>
      <c r="AH60" s="11">
        <v>0</v>
      </c>
    </row>
    <row r="61" spans="1:34" s="11" customFormat="1" ht="18.75" hidden="1" customHeight="1">
      <c r="A61" s="34"/>
      <c r="B61" s="34"/>
      <c r="C61" s="4" t="s">
        <v>1321</v>
      </c>
      <c r="D61" s="1516"/>
      <c r="E61" s="1249"/>
      <c r="F61" s="1390"/>
      <c r="G61" s="1492"/>
      <c r="H61" s="823"/>
      <c r="I61" s="52" t="s">
        <v>1322</v>
      </c>
      <c r="J61" s="111"/>
      <c r="K61" s="823"/>
      <c r="L61" s="108"/>
      <c r="M61" s="1210"/>
      <c r="N61" s="196"/>
      <c r="O61" s="69"/>
      <c r="P61" s="69"/>
      <c r="AH61" s="11">
        <v>0</v>
      </c>
    </row>
    <row r="62" spans="1:34" s="11" customFormat="1" ht="0.75" hidden="1" customHeight="1">
      <c r="A62" s="34"/>
      <c r="B62" s="34"/>
      <c r="C62" s="4" t="s">
        <v>1327</v>
      </c>
      <c r="D62" s="1516"/>
      <c r="E62" s="1249"/>
      <c r="F62" s="1390"/>
      <c r="G62" s="227"/>
      <c r="H62" s="823"/>
      <c r="I62" s="52"/>
      <c r="J62" s="111"/>
      <c r="K62" s="823"/>
      <c r="L62" s="108"/>
      <c r="M62" s="1210"/>
      <c r="N62" s="196"/>
      <c r="O62" s="69"/>
      <c r="P62" s="69"/>
      <c r="AH62" s="11">
        <v>0</v>
      </c>
    </row>
    <row r="63" spans="1:34" s="11" customFormat="1" ht="18.75" hidden="1" customHeight="1">
      <c r="A63" s="34" t="s">
        <v>251</v>
      </c>
      <c r="B63" s="34" t="s">
        <v>252</v>
      </c>
      <c r="C63" s="4"/>
      <c r="D63" s="1516"/>
      <c r="E63" s="1249"/>
      <c r="F63" s="1390"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92" t="str">
        <f>INDEX(PT_DIFFERENTIATION_NTAR,MATCH(B63,PT_DIFFERENTIATION_NTAR_ID,0))</f>
        <v/>
      </c>
      <c r="H63" s="763"/>
      <c r="I63" s="1107"/>
      <c r="J63" s="1108"/>
      <c r="K63" s="320"/>
      <c r="L63" s="763" t="s">
        <v>312</v>
      </c>
      <c r="M63" s="1210"/>
      <c r="N63" s="196"/>
      <c r="O63" s="69"/>
      <c r="P63" s="69"/>
      <c r="AH63" s="11">
        <v>0</v>
      </c>
    </row>
    <row r="64" spans="1:34" s="11" customFormat="1" ht="18.75" hidden="1" customHeight="1">
      <c r="A64" s="34"/>
      <c r="B64" s="34"/>
      <c r="C64" s="4" t="s">
        <v>1321</v>
      </c>
      <c r="D64" s="1516"/>
      <c r="E64" s="1249"/>
      <c r="F64" s="1390"/>
      <c r="G64" s="1492"/>
      <c r="H64" s="823"/>
      <c r="I64" s="52" t="s">
        <v>1322</v>
      </c>
      <c r="J64" s="111"/>
      <c r="K64" s="823"/>
      <c r="L64" s="108"/>
      <c r="M64" s="1210"/>
      <c r="N64" s="196"/>
      <c r="O64" s="69"/>
      <c r="P64" s="69"/>
      <c r="AH64" s="11">
        <v>0</v>
      </c>
    </row>
    <row r="65" spans="1:34" s="11" customFormat="1" ht="0.75" hidden="1" customHeight="1">
      <c r="A65" s="34"/>
      <c r="B65" s="34"/>
      <c r="C65" s="4" t="s">
        <v>1327</v>
      </c>
      <c r="D65" s="1516"/>
      <c r="E65" s="1249"/>
      <c r="F65" s="1390"/>
      <c r="G65" s="227"/>
      <c r="H65" s="823"/>
      <c r="I65" s="52"/>
      <c r="J65" s="111"/>
      <c r="K65" s="823"/>
      <c r="L65" s="108"/>
      <c r="M65" s="1210"/>
      <c r="N65" s="196"/>
      <c r="O65" s="69"/>
      <c r="P65" s="69"/>
      <c r="AH65" s="11">
        <v>0</v>
      </c>
    </row>
    <row r="66" spans="1:34" s="11" customFormat="1" ht="18.75" hidden="1" customHeight="1">
      <c r="A66" s="34" t="s">
        <v>256</v>
      </c>
      <c r="B66" s="34" t="s">
        <v>257</v>
      </c>
      <c r="C66" s="4"/>
      <c r="D66" s="1516"/>
      <c r="E66" s="1249"/>
      <c r="F66" s="1390" t="str">
        <f>INDEX(PT_DIFFERENTIATION_VTAR,MATCH(A66,PT_DIFFERENTIATION_VTAR_ID,0))</f>
        <v>Тариф на горячую воду (горячее водоснабжение)</v>
      </c>
      <c r="G66" s="1492" t="str">
        <f>INDEX(PT_DIFFERENTIATION_NTAR,MATCH(B66,PT_DIFFERENTIATION_NTAR_ID,0))</f>
        <v/>
      </c>
      <c r="H66" s="763"/>
      <c r="I66" s="948"/>
      <c r="J66" s="974"/>
      <c r="K66" s="1005"/>
      <c r="L66" s="763" t="s">
        <v>312</v>
      </c>
      <c r="M66" s="1210"/>
      <c r="N66" s="196"/>
      <c r="O66" s="69"/>
      <c r="P66" s="69"/>
      <c r="AH66" s="11">
        <v>0</v>
      </c>
    </row>
    <row r="67" spans="1:34" s="11" customFormat="1" ht="18.75" hidden="1" customHeight="1">
      <c r="A67" s="34"/>
      <c r="B67" s="34"/>
      <c r="C67" s="4" t="s">
        <v>1321</v>
      </c>
      <c r="D67" s="1516"/>
      <c r="E67" s="1249"/>
      <c r="F67" s="1390"/>
      <c r="G67" s="1492"/>
      <c r="H67" s="823"/>
      <c r="I67" s="52" t="s">
        <v>1322</v>
      </c>
      <c r="J67" s="111"/>
      <c r="K67" s="823"/>
      <c r="L67" s="108"/>
      <c r="M67" s="1210"/>
      <c r="N67" s="196"/>
      <c r="O67" s="69"/>
      <c r="P67" s="69"/>
      <c r="AH67" s="11">
        <v>0</v>
      </c>
    </row>
    <row r="68" spans="1:34" s="11" customFormat="1" ht="0.75" hidden="1" customHeight="1">
      <c r="A68" s="34"/>
      <c r="B68" s="34"/>
      <c r="C68" s="4" t="s">
        <v>1327</v>
      </c>
      <c r="D68" s="1516"/>
      <c r="E68" s="1249"/>
      <c r="F68" s="1390"/>
      <c r="G68" s="227"/>
      <c r="H68" s="823"/>
      <c r="I68" s="52"/>
      <c r="J68" s="111"/>
      <c r="K68" s="823"/>
      <c r="L68" s="108"/>
      <c r="M68" s="1210"/>
      <c r="N68" s="196"/>
      <c r="O68" s="69"/>
      <c r="P68" s="69"/>
      <c r="AH68" s="11">
        <v>0</v>
      </c>
    </row>
    <row r="69" spans="1:34" s="11" customFormat="1" ht="18.75" hidden="1" customHeight="1">
      <c r="A69" s="34" t="s">
        <v>261</v>
      </c>
      <c r="B69" s="34" t="s">
        <v>262</v>
      </c>
      <c r="C69" s="4"/>
      <c r="D69" s="1516"/>
      <c r="E69" s="1249"/>
      <c r="F69" s="1390" t="str">
        <f>INDEX(PT_DIFFERENTIATION_VTAR,MATCH(A69,PT_DIFFERENTIATION_VTAR_ID,0))</f>
        <v>Тариф на транспортировку горячей воды</v>
      </c>
      <c r="G69" s="1492" t="str">
        <f>INDEX(PT_DIFFERENTIATION_NTAR,MATCH(B69,PT_DIFFERENTIATION_NTAR_ID,0))</f>
        <v/>
      </c>
      <c r="H69" s="763"/>
      <c r="I69" s="948"/>
      <c r="J69" s="974"/>
      <c r="K69" s="1005"/>
      <c r="L69" s="763" t="s">
        <v>312</v>
      </c>
      <c r="M69" s="1210"/>
      <c r="N69" s="196"/>
      <c r="O69" s="69"/>
      <c r="P69" s="69"/>
      <c r="AH69" s="11">
        <v>0</v>
      </c>
    </row>
    <row r="70" spans="1:34" s="11" customFormat="1" ht="18.75" hidden="1" customHeight="1">
      <c r="A70" s="34"/>
      <c r="B70" s="34"/>
      <c r="C70" s="4" t="s">
        <v>1321</v>
      </c>
      <c r="D70" s="1516"/>
      <c r="E70" s="1249"/>
      <c r="F70" s="1390"/>
      <c r="G70" s="1492"/>
      <c r="H70" s="823"/>
      <c r="I70" s="52" t="s">
        <v>1322</v>
      </c>
      <c r="J70" s="111"/>
      <c r="K70" s="823"/>
      <c r="L70" s="108"/>
      <c r="M70" s="1210"/>
      <c r="N70" s="196"/>
      <c r="O70" s="69"/>
      <c r="P70" s="69"/>
      <c r="AH70" s="11">
        <v>0</v>
      </c>
    </row>
    <row r="71" spans="1:34" s="11" customFormat="1" ht="0.75" hidden="1" customHeight="1">
      <c r="A71" s="34"/>
      <c r="B71" s="34"/>
      <c r="C71" s="4" t="s">
        <v>1327</v>
      </c>
      <c r="D71" s="1516"/>
      <c r="E71" s="1249"/>
      <c r="F71" s="1390"/>
      <c r="G71" s="227"/>
      <c r="H71" s="823"/>
      <c r="I71" s="52"/>
      <c r="J71" s="111"/>
      <c r="K71" s="823"/>
      <c r="L71" s="108"/>
      <c r="M71" s="1210"/>
      <c r="N71" s="196"/>
      <c r="O71" s="69"/>
      <c r="P71" s="69"/>
      <c r="AH71" s="11">
        <v>0</v>
      </c>
    </row>
    <row r="72" spans="1:34" s="11" customFormat="1" ht="18.75" hidden="1" customHeight="1">
      <c r="A72" s="34" t="s">
        <v>266</v>
      </c>
      <c r="B72" s="34" t="s">
        <v>267</v>
      </c>
      <c r="C72" s="4"/>
      <c r="D72" s="1516"/>
      <c r="E72" s="1249"/>
      <c r="F72" s="1390" t="str">
        <f>INDEX(PT_DIFFERENTIATION_VTAR,MATCH(A72,PT_DIFFERENTIATION_VTAR_ID,0))</f>
        <v>Тариф на подключение (технологическое присоединение) к централизованной системе горячего водоснабжения</v>
      </c>
      <c r="G72" s="1492" t="str">
        <f>INDEX(PT_DIFFERENTIATION_NTAR,MATCH(B72,PT_DIFFERENTIATION_NTAR_ID,0))</f>
        <v/>
      </c>
      <c r="H72" s="763"/>
      <c r="I72" s="1107"/>
      <c r="J72" s="1108"/>
      <c r="K72" s="320"/>
      <c r="L72" s="763" t="s">
        <v>312</v>
      </c>
      <c r="M72" s="1210"/>
      <c r="N72" s="196"/>
      <c r="O72" s="69"/>
      <c r="P72" s="69"/>
      <c r="AH72" s="11">
        <v>0</v>
      </c>
    </row>
    <row r="73" spans="1:34" s="11" customFormat="1" ht="18.75" hidden="1" customHeight="1">
      <c r="A73" s="34"/>
      <c r="B73" s="34"/>
      <c r="C73" s="4" t="s">
        <v>1321</v>
      </c>
      <c r="D73" s="1516"/>
      <c r="E73" s="1249"/>
      <c r="F73" s="1390"/>
      <c r="G73" s="1492"/>
      <c r="H73" s="823"/>
      <c r="I73" s="52" t="s">
        <v>1322</v>
      </c>
      <c r="J73" s="111"/>
      <c r="K73" s="823"/>
      <c r="L73" s="108"/>
      <c r="M73" s="1210"/>
      <c r="N73" s="196"/>
      <c r="O73" s="69"/>
      <c r="P73" s="69"/>
      <c r="AH73" s="11">
        <v>0</v>
      </c>
    </row>
    <row r="74" spans="1:34" s="11" customFormat="1" ht="0.75" hidden="1" customHeight="1">
      <c r="A74" s="34"/>
      <c r="B74" s="34"/>
      <c r="C74" s="4" t="s">
        <v>1327</v>
      </c>
      <c r="D74" s="1516"/>
      <c r="E74" s="1249"/>
      <c r="F74" s="1390"/>
      <c r="G74" s="227"/>
      <c r="H74" s="823"/>
      <c r="I74" s="52"/>
      <c r="J74" s="111"/>
      <c r="K74" s="823"/>
      <c r="L74" s="108"/>
      <c r="M74" s="1210"/>
      <c r="N74" s="196"/>
      <c r="O74" s="69"/>
      <c r="P74" s="69"/>
      <c r="AH74" s="11">
        <v>0</v>
      </c>
    </row>
    <row r="75" spans="1:34" s="11" customFormat="1" ht="18.75" hidden="1" customHeight="1">
      <c r="A75" s="34" t="s">
        <v>271</v>
      </c>
      <c r="B75" s="34" t="s">
        <v>272</v>
      </c>
      <c r="C75" s="4"/>
      <c r="D75" s="1516"/>
      <c r="E75" s="1249"/>
      <c r="F75" s="1390" t="str">
        <f>INDEX(PT_DIFFERENTIATION_VTAR,MATCH(A75,PT_DIFFERENTIATION_VTAR_ID,0))</f>
        <v>Тариф на водоотведение</v>
      </c>
      <c r="G75" s="1492" t="str">
        <f>INDEX(PT_DIFFERENTIATION_NTAR,MATCH(B75,PT_DIFFERENTIATION_NTAR_ID,0))</f>
        <v/>
      </c>
      <c r="H75" s="763"/>
      <c r="I75" s="948"/>
      <c r="J75" s="974"/>
      <c r="K75" s="1005"/>
      <c r="L75" s="763" t="s">
        <v>312</v>
      </c>
      <c r="M75" s="1210"/>
      <c r="N75" s="196"/>
      <c r="O75" s="69"/>
      <c r="P75" s="69"/>
      <c r="AH75" s="11">
        <v>0</v>
      </c>
    </row>
    <row r="76" spans="1:34" s="11" customFormat="1" ht="18.75" hidden="1" customHeight="1">
      <c r="A76" s="34"/>
      <c r="B76" s="34"/>
      <c r="C76" s="4" t="s">
        <v>1321</v>
      </c>
      <c r="D76" s="1516"/>
      <c r="E76" s="1249"/>
      <c r="F76" s="1390"/>
      <c r="G76" s="1492"/>
      <c r="H76" s="823"/>
      <c r="I76" s="52" t="s">
        <v>1322</v>
      </c>
      <c r="J76" s="111"/>
      <c r="K76" s="823"/>
      <c r="L76" s="108"/>
      <c r="M76" s="1210"/>
      <c r="N76" s="196"/>
      <c r="O76" s="69"/>
      <c r="P76" s="69"/>
      <c r="AH76" s="11">
        <v>0</v>
      </c>
    </row>
    <row r="77" spans="1:34" s="11" customFormat="1" ht="0.75" hidden="1" customHeight="1">
      <c r="A77" s="34"/>
      <c r="B77" s="34"/>
      <c r="C77" s="4" t="s">
        <v>1327</v>
      </c>
      <c r="D77" s="1516"/>
      <c r="E77" s="1249"/>
      <c r="F77" s="1390"/>
      <c r="G77" s="227"/>
      <c r="H77" s="823"/>
      <c r="I77" s="52"/>
      <c r="J77" s="111"/>
      <c r="K77" s="823"/>
      <c r="L77" s="108"/>
      <c r="M77" s="1210"/>
      <c r="N77" s="196"/>
      <c r="O77" s="69"/>
      <c r="P77" s="69"/>
      <c r="AH77" s="11">
        <v>0</v>
      </c>
    </row>
    <row r="78" spans="1:34" s="11" customFormat="1" ht="18.75" hidden="1" customHeight="1">
      <c r="A78" s="34" t="s">
        <v>276</v>
      </c>
      <c r="B78" s="34" t="s">
        <v>277</v>
      </c>
      <c r="C78" s="4"/>
      <c r="D78" s="1516"/>
      <c r="E78" s="1249"/>
      <c r="F78" s="1390" t="str">
        <f>INDEX(PT_DIFFERENTIATION_VTAR,MATCH(A78,PT_DIFFERENTIATION_VTAR_ID,0))</f>
        <v>Тариф на транспортировку сточных вод</v>
      </c>
      <c r="G78" s="1492" t="str">
        <f>INDEX(PT_DIFFERENTIATION_NTAR,MATCH(B78,PT_DIFFERENTIATION_NTAR_ID,0))</f>
        <v/>
      </c>
      <c r="H78" s="763"/>
      <c r="I78" s="948"/>
      <c r="J78" s="974"/>
      <c r="K78" s="1005"/>
      <c r="L78" s="763" t="s">
        <v>312</v>
      </c>
      <c r="M78" s="1210"/>
      <c r="N78" s="196"/>
      <c r="O78" s="69"/>
      <c r="P78" s="69"/>
      <c r="AH78" s="11">
        <v>0</v>
      </c>
    </row>
    <row r="79" spans="1:34" s="11" customFormat="1" ht="18.75" hidden="1" customHeight="1">
      <c r="A79" s="34"/>
      <c r="B79" s="34"/>
      <c r="C79" s="4" t="s">
        <v>1321</v>
      </c>
      <c r="D79" s="1516"/>
      <c r="E79" s="1249"/>
      <c r="F79" s="1390"/>
      <c r="G79" s="1492"/>
      <c r="H79" s="823"/>
      <c r="I79" s="52" t="s">
        <v>1322</v>
      </c>
      <c r="J79" s="111"/>
      <c r="K79" s="823"/>
      <c r="L79" s="108"/>
      <c r="M79" s="1210"/>
      <c r="N79" s="196"/>
      <c r="O79" s="69"/>
      <c r="P79" s="69"/>
      <c r="AH79" s="11">
        <v>0</v>
      </c>
    </row>
    <row r="80" spans="1:34" s="11" customFormat="1" ht="0.75" hidden="1" customHeight="1">
      <c r="A80" s="34"/>
      <c r="B80" s="34"/>
      <c r="C80" s="4" t="s">
        <v>1327</v>
      </c>
      <c r="D80" s="1516"/>
      <c r="E80" s="1249"/>
      <c r="F80" s="1390"/>
      <c r="G80" s="227"/>
      <c r="H80" s="823"/>
      <c r="I80" s="52"/>
      <c r="J80" s="111"/>
      <c r="K80" s="823"/>
      <c r="L80" s="108"/>
      <c r="M80" s="1210"/>
      <c r="N80" s="196"/>
      <c r="O80" s="69"/>
      <c r="P80" s="69"/>
      <c r="AH80" s="11">
        <v>0</v>
      </c>
    </row>
    <row r="81" spans="1:34" s="11" customFormat="1" ht="18.75" hidden="1" customHeight="1">
      <c r="A81" s="34" t="s">
        <v>281</v>
      </c>
      <c r="B81" s="34" t="s">
        <v>282</v>
      </c>
      <c r="C81" s="4"/>
      <c r="D81" s="1516"/>
      <c r="E81" s="1249"/>
      <c r="F81" s="1390" t="str">
        <f>INDEX(PT_DIFFERENTIATION_VTAR,MATCH(A81,PT_DIFFERENTIATION_VTAR_ID,0))</f>
        <v>Тариф на подключение (технологическое присоединение) к централизованной системе водоотведения</v>
      </c>
      <c r="G81" s="1492" t="str">
        <f>INDEX(PT_DIFFERENTIATION_NTAR,MATCH(B81,PT_DIFFERENTIATION_NTAR_ID,0))</f>
        <v/>
      </c>
      <c r="H81" s="763"/>
      <c r="I81" s="1107"/>
      <c r="J81" s="1108"/>
      <c r="K81" s="320"/>
      <c r="L81" s="763" t="s">
        <v>312</v>
      </c>
      <c r="M81" s="1210"/>
      <c r="N81" s="196"/>
      <c r="O81" s="69"/>
      <c r="P81" s="69"/>
      <c r="AH81" s="11">
        <v>0</v>
      </c>
    </row>
    <row r="82" spans="1:34" s="11" customFormat="1" ht="18.75" hidden="1" customHeight="1">
      <c r="A82" s="34"/>
      <c r="B82" s="34"/>
      <c r="C82" s="4" t="s">
        <v>1321</v>
      </c>
      <c r="D82" s="1516"/>
      <c r="E82" s="1249"/>
      <c r="F82" s="1390"/>
      <c r="G82" s="1492"/>
      <c r="H82" s="823"/>
      <c r="I82" s="52" t="s">
        <v>1322</v>
      </c>
      <c r="J82" s="111"/>
      <c r="K82" s="823"/>
      <c r="L82" s="108"/>
      <c r="M82" s="1210"/>
      <c r="N82" s="196"/>
      <c r="O82" s="69"/>
      <c r="P82" s="69"/>
      <c r="AH82" s="11">
        <v>0</v>
      </c>
    </row>
    <row r="83" spans="1:34" s="11" customFormat="1" ht="1.1499999999999999" customHeight="1">
      <c r="A83" s="34"/>
      <c r="B83" s="34"/>
      <c r="C83" s="4" t="s">
        <v>1327</v>
      </c>
      <c r="D83" s="1516"/>
      <c r="E83" s="1249"/>
      <c r="F83" s="1390"/>
      <c r="G83" s="227"/>
      <c r="H83" s="823"/>
      <c r="I83" s="52"/>
      <c r="J83" s="111"/>
      <c r="K83" s="823"/>
      <c r="L83" s="108"/>
      <c r="M83" s="1210"/>
      <c r="N83" s="196"/>
      <c r="O83" s="69"/>
      <c r="P83" s="69"/>
      <c r="AH83" s="11">
        <v>1</v>
      </c>
    </row>
    <row r="84" spans="1:34" ht="19.899999999999999" customHeight="1">
      <c r="A84" s="34"/>
      <c r="B84" s="34"/>
      <c r="D84" s="28"/>
      <c r="E84" s="64" t="s">
        <v>110</v>
      </c>
      <c r="F84" s="15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515"/>
      <c r="H84" s="1515"/>
      <c r="I84" s="1515"/>
      <c r="J84" s="1515"/>
      <c r="K84" s="1515"/>
      <c r="L84" s="1515"/>
      <c r="M84" s="114"/>
      <c r="N84" s="196"/>
      <c r="AH84" s="11">
        <v>19</v>
      </c>
    </row>
    <row r="85" spans="1:34" ht="35.65" customHeight="1">
      <c r="A85" s="34"/>
      <c r="B85" s="34"/>
      <c r="D85" s="28"/>
      <c r="E85" s="226"/>
      <c r="F85" s="39" t="s">
        <v>312</v>
      </c>
      <c r="G85" s="39" t="s">
        <v>312</v>
      </c>
      <c r="H85" s="1259" t="s">
        <v>312</v>
      </c>
      <c r="I85" s="1273"/>
      <c r="J85" s="39" t="s">
        <v>312</v>
      </c>
      <c r="K85" s="39" t="s">
        <v>312</v>
      </c>
      <c r="L85" s="228"/>
      <c r="M85" s="67" t="s">
        <v>1328</v>
      </c>
      <c r="N85" s="196"/>
      <c r="AH85" s="11">
        <v>34</v>
      </c>
    </row>
    <row r="86" spans="1:34" ht="19.899999999999999" customHeight="1">
      <c r="A86" s="34"/>
      <c r="B86" s="34"/>
      <c r="D86" s="28"/>
      <c r="E86" s="64" t="s">
        <v>90</v>
      </c>
      <c r="F86" s="1515" t="s">
        <v>1329</v>
      </c>
      <c r="G86" s="1515"/>
      <c r="H86" s="1515"/>
      <c r="I86" s="1515"/>
      <c r="J86" s="1515"/>
      <c r="K86" s="1515"/>
      <c r="L86" s="1515"/>
      <c r="M86" s="114"/>
      <c r="N86" s="196"/>
      <c r="AH86" s="11">
        <v>19</v>
      </c>
    </row>
    <row r="87" spans="1:34" s="11" customFormat="1" ht="60.75" hidden="1" customHeight="1">
      <c r="A87" s="34" t="s">
        <v>163</v>
      </c>
      <c r="B87" s="34" t="s">
        <v>164</v>
      </c>
      <c r="C87" s="4"/>
      <c r="D87" s="1516"/>
      <c r="E87" s="1249"/>
      <c r="F87" s="139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92" t="str">
        <f>INDEX(PT_DIFFERENTIATION_NTAR,MATCH(B87,PT_DIFFERENTIATION_NTAR_ID,0))</f>
        <v/>
      </c>
      <c r="H87" s="763"/>
      <c r="I87" s="948"/>
      <c r="J87" s="974"/>
      <c r="K87" s="366"/>
      <c r="L87" s="763" t="s">
        <v>312</v>
      </c>
      <c r="M87"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1323</v>
      </c>
      <c r="D88" s="1516"/>
      <c r="E88" s="1249"/>
      <c r="F88" s="1390"/>
      <c r="G88" s="1492"/>
      <c r="H88" s="823"/>
      <c r="I88" s="52" t="s">
        <v>1322</v>
      </c>
      <c r="J88" s="111"/>
      <c r="K88" s="823"/>
      <c r="L88" s="108"/>
      <c r="M88" s="1210"/>
      <c r="N88" s="196"/>
      <c r="O88" s="69"/>
      <c r="P88" s="69"/>
      <c r="AH88" s="11">
        <v>0</v>
      </c>
    </row>
    <row r="89" spans="1:34" s="11" customFormat="1" ht="0.75" hidden="1" customHeight="1">
      <c r="A89" s="34"/>
      <c r="B89" s="34"/>
      <c r="C89" s="4" t="s">
        <v>1330</v>
      </c>
      <c r="D89" s="1516"/>
      <c r="E89" s="1249"/>
      <c r="F89" s="1390"/>
      <c r="G89" s="227"/>
      <c r="H89" s="823"/>
      <c r="I89" s="52"/>
      <c r="J89" s="111"/>
      <c r="K89" s="823"/>
      <c r="L89" s="108"/>
      <c r="M89" s="1210"/>
      <c r="N89" s="196"/>
      <c r="O89" s="69"/>
      <c r="P89" s="69"/>
      <c r="AH89" s="11">
        <v>0</v>
      </c>
    </row>
    <row r="90" spans="1:34" s="11" customFormat="1" ht="45" hidden="1" customHeight="1">
      <c r="A90" s="34" t="s">
        <v>168</v>
      </c>
      <c r="B90" s="34" t="s">
        <v>169</v>
      </c>
      <c r="C90" s="4"/>
      <c r="D90" s="1516"/>
      <c r="E90" s="1249"/>
      <c r="F90" s="1390" t="str">
        <f>INDEX(PT_DIFFERENTIATION_VTAR,MATCH(A90,PT_DIFFERENTIATION_VTAR_ID,0))</f>
        <v/>
      </c>
      <c r="G90" s="1492" t="str">
        <f>INDEX(PT_DIFFERENTIATION_NTAR,MATCH(B90,PT_DIFFERENTIATION_NTAR_ID,0))</f>
        <v/>
      </c>
      <c r="H90" s="763"/>
      <c r="I90" s="948"/>
      <c r="J90" s="974"/>
      <c r="K90" s="366"/>
      <c r="L90" s="763" t="s">
        <v>312</v>
      </c>
      <c r="M90" s="1211"/>
      <c r="N90" s="196"/>
      <c r="O90" s="69"/>
      <c r="P90" s="69"/>
      <c r="AH90" s="11">
        <v>0</v>
      </c>
    </row>
    <row r="91" spans="1:34" s="11" customFormat="1" ht="18.75" hidden="1" customHeight="1">
      <c r="A91" s="34"/>
      <c r="B91" s="34"/>
      <c r="C91" s="4" t="s">
        <v>1323</v>
      </c>
      <c r="D91" s="1516"/>
      <c r="E91" s="1249"/>
      <c r="F91" s="1390"/>
      <c r="G91" s="1492"/>
      <c r="H91" s="823"/>
      <c r="I91" s="52" t="s">
        <v>1322</v>
      </c>
      <c r="J91" s="111"/>
      <c r="K91" s="823"/>
      <c r="L91" s="108"/>
      <c r="M91" s="1003"/>
      <c r="N91" s="196"/>
      <c r="O91" s="69"/>
      <c r="P91" s="69"/>
      <c r="AH91" s="11">
        <v>0</v>
      </c>
    </row>
    <row r="92" spans="1:34" s="11" customFormat="1" ht="0.75" hidden="1" customHeight="1">
      <c r="A92" s="34"/>
      <c r="B92" s="34"/>
      <c r="C92" s="4" t="s">
        <v>1330</v>
      </c>
      <c r="D92" s="1516"/>
      <c r="E92" s="1249"/>
      <c r="F92" s="1390"/>
      <c r="G92" s="227"/>
      <c r="H92" s="823"/>
      <c r="I92" s="52"/>
      <c r="J92" s="111"/>
      <c r="K92" s="823"/>
      <c r="L92" s="108"/>
      <c r="M92" s="201"/>
      <c r="N92" s="196"/>
      <c r="O92" s="69"/>
      <c r="P92" s="69"/>
      <c r="AH92" s="11">
        <v>0</v>
      </c>
    </row>
    <row r="93" spans="1:34" s="11" customFormat="1" ht="45" hidden="1" customHeight="1">
      <c r="A93" s="34" t="s">
        <v>175</v>
      </c>
      <c r="B93" s="34" t="s">
        <v>176</v>
      </c>
      <c r="C93" s="4"/>
      <c r="D93" s="1516"/>
      <c r="E93" s="1249"/>
      <c r="F93" s="139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92" t="str">
        <f>INDEX(PT_DIFFERENTIATION_NTAR,MATCH(B93,PT_DIFFERENTIATION_NTAR_ID,0))</f>
        <v/>
      </c>
      <c r="H93" s="763"/>
      <c r="I93" s="948"/>
      <c r="J93" s="974"/>
      <c r="K93" s="366"/>
      <c r="L93" s="763" t="s">
        <v>312</v>
      </c>
      <c r="M93" s="201"/>
      <c r="N93" s="196"/>
      <c r="O93" s="69"/>
      <c r="P93" s="69"/>
      <c r="AH93" s="11">
        <v>0</v>
      </c>
    </row>
    <row r="94" spans="1:34" s="11" customFormat="1" ht="18.75" hidden="1" customHeight="1">
      <c r="A94" s="34"/>
      <c r="B94" s="34"/>
      <c r="C94" s="4" t="s">
        <v>1323</v>
      </c>
      <c r="D94" s="1516"/>
      <c r="E94" s="1249"/>
      <c r="F94" s="1390"/>
      <c r="G94" s="1492"/>
      <c r="H94" s="823"/>
      <c r="I94" s="52" t="s">
        <v>1322</v>
      </c>
      <c r="J94" s="111"/>
      <c r="K94" s="823"/>
      <c r="L94" s="108"/>
      <c r="M94" s="201"/>
      <c r="N94" s="196"/>
      <c r="O94" s="69"/>
      <c r="P94" s="69"/>
      <c r="AH94" s="11">
        <v>0</v>
      </c>
    </row>
    <row r="95" spans="1:34" s="11" customFormat="1" ht="0.75" hidden="1" customHeight="1">
      <c r="A95" s="34"/>
      <c r="B95" s="34"/>
      <c r="C95" s="4" t="s">
        <v>1330</v>
      </c>
      <c r="D95" s="1516"/>
      <c r="E95" s="1249"/>
      <c r="F95" s="1390"/>
      <c r="G95" s="227"/>
      <c r="H95" s="823"/>
      <c r="I95" s="52"/>
      <c r="J95" s="111"/>
      <c r="K95" s="823"/>
      <c r="L95" s="108"/>
      <c r="M95" s="201"/>
      <c r="N95" s="196"/>
      <c r="O95" s="69"/>
      <c r="P95" s="69"/>
      <c r="AH95" s="11">
        <v>0</v>
      </c>
    </row>
    <row r="96" spans="1:34" s="11" customFormat="1" ht="45" hidden="1" customHeight="1">
      <c r="A96" s="34" t="s">
        <v>181</v>
      </c>
      <c r="B96" s="34" t="s">
        <v>182</v>
      </c>
      <c r="C96" s="4"/>
      <c r="D96" s="1516"/>
      <c r="E96" s="1249"/>
      <c r="F96" s="139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92" t="str">
        <f>INDEX(PT_DIFFERENTIATION_NTAR,MATCH(B96,PT_DIFFERENTIATION_NTAR_ID,0))</f>
        <v/>
      </c>
      <c r="H96" s="763"/>
      <c r="I96" s="948"/>
      <c r="J96" s="974"/>
      <c r="K96" s="366"/>
      <c r="L96" s="763" t="s">
        <v>312</v>
      </c>
      <c r="M96" s="201"/>
      <c r="N96" s="196"/>
      <c r="O96" s="69"/>
      <c r="P96" s="69"/>
      <c r="AH96" s="11">
        <v>0</v>
      </c>
    </row>
    <row r="97" spans="1:34" s="11" customFormat="1" ht="18.75" hidden="1" customHeight="1">
      <c r="A97" s="34"/>
      <c r="B97" s="34"/>
      <c r="C97" s="4" t="s">
        <v>1323</v>
      </c>
      <c r="D97" s="1516"/>
      <c r="E97" s="1249"/>
      <c r="F97" s="1390"/>
      <c r="G97" s="1492"/>
      <c r="H97" s="823"/>
      <c r="I97" s="52" t="s">
        <v>1322</v>
      </c>
      <c r="J97" s="111"/>
      <c r="K97" s="823"/>
      <c r="L97" s="108"/>
      <c r="M97" s="201"/>
      <c r="N97" s="196"/>
      <c r="O97" s="69"/>
      <c r="P97" s="69"/>
      <c r="AH97" s="11">
        <v>0</v>
      </c>
    </row>
    <row r="98" spans="1:34" s="11" customFormat="1" ht="0.75" hidden="1" customHeight="1">
      <c r="A98" s="34"/>
      <c r="B98" s="34"/>
      <c r="C98" s="4" t="s">
        <v>1330</v>
      </c>
      <c r="D98" s="1516"/>
      <c r="E98" s="1249"/>
      <c r="F98" s="1390"/>
      <c r="G98" s="227"/>
      <c r="H98" s="823"/>
      <c r="I98" s="52"/>
      <c r="J98" s="111"/>
      <c r="K98" s="823"/>
      <c r="L98" s="108"/>
      <c r="M98" s="201"/>
      <c r="N98" s="196"/>
      <c r="O98" s="69"/>
      <c r="P98" s="69"/>
      <c r="AH98" s="11">
        <v>0</v>
      </c>
    </row>
    <row r="99" spans="1:34" s="11" customFormat="1" ht="18.75" hidden="1" customHeight="1">
      <c r="A99" s="34" t="s">
        <v>187</v>
      </c>
      <c r="B99" s="34" t="s">
        <v>188</v>
      </c>
      <c r="C99" s="4"/>
      <c r="D99" s="1516"/>
      <c r="E99" s="1249"/>
      <c r="F99" s="1390" t="str">
        <f>INDEX(PT_DIFFERENTIATION_VTAR,MATCH(A99,PT_DIFFERENTIATION_VTAR_ID,0))</f>
        <v>Тарифы на услуги по передаче тепловой энергии</v>
      </c>
      <c r="G99" s="1492" t="str">
        <f>INDEX(PT_DIFFERENTIATION_NTAR,MATCH(B99,PT_DIFFERENTIATION_NTAR_ID,0))</f>
        <v/>
      </c>
      <c r="H99" s="763"/>
      <c r="I99" s="948"/>
      <c r="J99" s="974"/>
      <c r="K99" s="366"/>
      <c r="L99" s="763" t="s">
        <v>312</v>
      </c>
      <c r="M99" s="201"/>
      <c r="N99" s="196"/>
      <c r="O99" s="69"/>
      <c r="P99" s="69"/>
      <c r="AH99" s="11">
        <v>0</v>
      </c>
    </row>
    <row r="100" spans="1:34" s="11" customFormat="1" ht="18.75" hidden="1" customHeight="1">
      <c r="A100" s="34"/>
      <c r="B100" s="34"/>
      <c r="C100" s="4" t="s">
        <v>1323</v>
      </c>
      <c r="D100" s="1516"/>
      <c r="E100" s="1249"/>
      <c r="F100" s="1390"/>
      <c r="G100" s="1492"/>
      <c r="H100" s="823"/>
      <c r="I100" s="52" t="s">
        <v>1322</v>
      </c>
      <c r="J100" s="111"/>
      <c r="K100" s="823"/>
      <c r="L100" s="108"/>
      <c r="M100" s="201"/>
      <c r="N100" s="196"/>
      <c r="O100" s="69"/>
      <c r="P100" s="69"/>
      <c r="AH100" s="11">
        <v>0</v>
      </c>
    </row>
    <row r="101" spans="1:34" s="11" customFormat="1" ht="0.75" hidden="1" customHeight="1">
      <c r="A101" s="34"/>
      <c r="B101" s="34"/>
      <c r="C101" s="4" t="s">
        <v>1330</v>
      </c>
      <c r="D101" s="1516"/>
      <c r="E101" s="1249"/>
      <c r="F101" s="1390"/>
      <c r="G101" s="227"/>
      <c r="H101" s="823"/>
      <c r="I101" s="52"/>
      <c r="J101" s="111"/>
      <c r="K101" s="823"/>
      <c r="L101" s="108"/>
      <c r="M101" s="201"/>
      <c r="N101" s="196"/>
      <c r="O101" s="69"/>
      <c r="P101" s="69"/>
      <c r="AH101" s="11">
        <v>0</v>
      </c>
    </row>
    <row r="102" spans="1:34" s="11" customFormat="1" ht="18.75" hidden="1" customHeight="1">
      <c r="A102" s="34" t="s">
        <v>193</v>
      </c>
      <c r="B102" s="34" t="s">
        <v>194</v>
      </c>
      <c r="C102" s="4"/>
      <c r="D102" s="1516"/>
      <c r="E102" s="1249"/>
      <c r="F102" s="1390" t="str">
        <f>INDEX(PT_DIFFERENTIATION_VTAR,MATCH(A102,PT_DIFFERENTIATION_VTAR_ID,0))</f>
        <v>Тарифы на услуги по передаче теплоносителя</v>
      </c>
      <c r="G102" s="1492" t="str">
        <f>INDEX(PT_DIFFERENTIATION_NTAR,MATCH(B102,PT_DIFFERENTIATION_NTAR_ID,0))</f>
        <v/>
      </c>
      <c r="H102" s="763"/>
      <c r="I102" s="948"/>
      <c r="J102" s="974"/>
      <c r="K102" s="366"/>
      <c r="L102" s="763" t="s">
        <v>312</v>
      </c>
      <c r="M102" s="201"/>
      <c r="N102" s="196"/>
      <c r="O102" s="69"/>
      <c r="P102" s="69"/>
      <c r="AH102" s="11">
        <v>0</v>
      </c>
    </row>
    <row r="103" spans="1:34" s="11" customFormat="1" ht="18.75" hidden="1" customHeight="1">
      <c r="A103" s="34"/>
      <c r="B103" s="34"/>
      <c r="C103" s="4" t="s">
        <v>1323</v>
      </c>
      <c r="D103" s="1516"/>
      <c r="E103" s="1249"/>
      <c r="F103" s="1390"/>
      <c r="G103" s="1492"/>
      <c r="H103" s="823"/>
      <c r="I103" s="52" t="s">
        <v>1322</v>
      </c>
      <c r="J103" s="111"/>
      <c r="K103" s="823"/>
      <c r="L103" s="108"/>
      <c r="M103" s="201"/>
      <c r="N103" s="196"/>
      <c r="O103" s="69"/>
      <c r="P103" s="69"/>
      <c r="AH103" s="11">
        <v>0</v>
      </c>
    </row>
    <row r="104" spans="1:34" s="11" customFormat="1" ht="0.75" hidden="1" customHeight="1">
      <c r="A104" s="34"/>
      <c r="B104" s="34"/>
      <c r="C104" s="4" t="s">
        <v>1330</v>
      </c>
      <c r="D104" s="1516"/>
      <c r="E104" s="1249"/>
      <c r="F104" s="1390"/>
      <c r="G104" s="227"/>
      <c r="H104" s="823"/>
      <c r="I104" s="52"/>
      <c r="J104" s="111"/>
      <c r="K104" s="823"/>
      <c r="L104" s="108"/>
      <c r="M104" s="201"/>
      <c r="N104" s="196"/>
      <c r="O104" s="69"/>
      <c r="P104" s="69"/>
      <c r="AH104" s="11">
        <v>0</v>
      </c>
    </row>
    <row r="105" spans="1:34" s="11" customFormat="1" ht="18.75" hidden="1" customHeight="1">
      <c r="A105" s="34" t="s">
        <v>199</v>
      </c>
      <c r="B105" s="34" t="s">
        <v>200</v>
      </c>
      <c r="C105" s="4"/>
      <c r="D105" s="1516"/>
      <c r="E105" s="1249"/>
      <c r="F105" s="139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92" t="str">
        <f>INDEX(PT_DIFFERENTIATION_NTAR,MATCH(B105,PT_DIFFERENTIATION_NTAR_ID,0))</f>
        <v/>
      </c>
      <c r="H105" s="763"/>
      <c r="I105" s="948"/>
      <c r="J105" s="974"/>
      <c r="K105" s="366"/>
      <c r="L105" s="763" t="s">
        <v>312</v>
      </c>
      <c r="M105" s="201"/>
      <c r="N105" s="196"/>
      <c r="O105" s="69"/>
      <c r="P105" s="69"/>
      <c r="AH105" s="11">
        <v>0</v>
      </c>
    </row>
    <row r="106" spans="1:34" s="11" customFormat="1" ht="18.75" hidden="1" customHeight="1">
      <c r="A106" s="34"/>
      <c r="B106" s="34"/>
      <c r="C106" s="4" t="s">
        <v>1323</v>
      </c>
      <c r="D106" s="1516"/>
      <c r="E106" s="1249"/>
      <c r="F106" s="1390"/>
      <c r="G106" s="1492"/>
      <c r="H106" s="823"/>
      <c r="I106" s="52" t="s">
        <v>1322</v>
      </c>
      <c r="J106" s="111"/>
      <c r="K106" s="823"/>
      <c r="L106" s="108"/>
      <c r="M106" s="201"/>
      <c r="N106" s="196"/>
      <c r="O106" s="69"/>
      <c r="P106" s="69"/>
      <c r="AH106" s="11">
        <v>0</v>
      </c>
    </row>
    <row r="107" spans="1:34" s="11" customFormat="1" ht="0.75" hidden="1" customHeight="1">
      <c r="A107" s="34"/>
      <c r="B107" s="34"/>
      <c r="C107" s="4" t="s">
        <v>1330</v>
      </c>
      <c r="D107" s="1516"/>
      <c r="E107" s="1249"/>
      <c r="F107" s="1390"/>
      <c r="G107" s="227"/>
      <c r="H107" s="823"/>
      <c r="I107" s="52"/>
      <c r="J107" s="111"/>
      <c r="K107" s="823"/>
      <c r="L107" s="108"/>
      <c r="M107" s="201"/>
      <c r="N107" s="196"/>
      <c r="O107" s="69"/>
      <c r="P107" s="69"/>
      <c r="AH107" s="11">
        <v>0</v>
      </c>
    </row>
    <row r="108" spans="1:34" s="11" customFormat="1" ht="18.75" hidden="1" customHeight="1">
      <c r="A108" s="34" t="s">
        <v>205</v>
      </c>
      <c r="B108" s="34" t="s">
        <v>206</v>
      </c>
      <c r="C108" s="4"/>
      <c r="D108" s="1516"/>
      <c r="E108" s="1249"/>
      <c r="F108" s="1390" t="str">
        <f>INDEX(PT_DIFFERENTIATION_VTAR,MATCH(A108,PT_DIFFERENTIATION_VTAR_ID,0))</f>
        <v>Плата за подключение (технологическое присоединение) к системе теплоснабжения</v>
      </c>
      <c r="G108" s="1492" t="str">
        <f>INDEX(PT_DIFFERENTIATION_NTAR,MATCH(B108,PT_DIFFERENTIATION_NTAR_ID,0))</f>
        <v/>
      </c>
      <c r="H108" s="763"/>
      <c r="I108" s="948"/>
      <c r="J108" s="974"/>
      <c r="K108" s="366"/>
      <c r="L108" s="763" t="s">
        <v>312</v>
      </c>
      <c r="M108" s="201"/>
      <c r="N108" s="196"/>
      <c r="O108" s="69"/>
      <c r="P108" s="69"/>
      <c r="AH108" s="11">
        <v>0</v>
      </c>
    </row>
    <row r="109" spans="1:34" s="11" customFormat="1" ht="18.75" hidden="1" customHeight="1">
      <c r="A109" s="34"/>
      <c r="B109" s="34"/>
      <c r="C109" s="4" t="s">
        <v>1323</v>
      </c>
      <c r="D109" s="1516"/>
      <c r="E109" s="1249"/>
      <c r="F109" s="1390"/>
      <c r="G109" s="1492"/>
      <c r="H109" s="823"/>
      <c r="I109" s="52" t="s">
        <v>1322</v>
      </c>
      <c r="J109" s="111"/>
      <c r="K109" s="823"/>
      <c r="L109" s="108"/>
      <c r="M109" s="201"/>
      <c r="N109" s="196"/>
      <c r="O109" s="69"/>
      <c r="P109" s="69"/>
      <c r="AH109" s="11">
        <v>0</v>
      </c>
    </row>
    <row r="110" spans="1:34" s="11" customFormat="1" ht="0.75" hidden="1" customHeight="1">
      <c r="A110" s="34"/>
      <c r="B110" s="34"/>
      <c r="C110" s="4" t="s">
        <v>1330</v>
      </c>
      <c r="D110" s="1516"/>
      <c r="E110" s="1249"/>
      <c r="F110" s="1390"/>
      <c r="G110" s="227"/>
      <c r="H110" s="823"/>
      <c r="I110" s="52"/>
      <c r="J110" s="111"/>
      <c r="K110" s="823"/>
      <c r="L110" s="108"/>
      <c r="M110" s="201"/>
      <c r="N110" s="196"/>
      <c r="O110" s="69"/>
      <c r="P110" s="69"/>
      <c r="AH110" s="11">
        <v>0</v>
      </c>
    </row>
    <row r="111" spans="1:34" s="11" customFormat="1" ht="18.75" hidden="1" customHeight="1">
      <c r="A111" s="34" t="s">
        <v>211</v>
      </c>
      <c r="B111" s="34" t="s">
        <v>212</v>
      </c>
      <c r="C111" s="4"/>
      <c r="D111" s="1516"/>
      <c r="E111" s="1249"/>
      <c r="F111" s="1390" t="str">
        <f>INDEX(PT_DIFFERENTIATION_VTAR,MATCH(A111,PT_DIFFERENTIATION_VTAR_ID,0))</f>
        <v>Плата за подключение (технологическое присоединение) к системе теплоснабжения (индивидуальная)</v>
      </c>
      <c r="G111" s="1492" t="str">
        <f>INDEX(PT_DIFFERENTIATION_NTAR,MATCH(B111,PT_DIFFERENTIATION_NTAR_ID,0))</f>
        <v/>
      </c>
      <c r="H111" s="763"/>
      <c r="I111" s="948"/>
      <c r="J111" s="974"/>
      <c r="K111" s="366"/>
      <c r="L111" s="763" t="s">
        <v>312</v>
      </c>
      <c r="M111" s="201"/>
      <c r="N111" s="196"/>
      <c r="O111" s="69"/>
      <c r="P111" s="69"/>
      <c r="AH111" s="11">
        <v>0</v>
      </c>
    </row>
    <row r="112" spans="1:34" s="11" customFormat="1" ht="18.75" hidden="1" customHeight="1">
      <c r="A112" s="34"/>
      <c r="B112" s="34"/>
      <c r="C112" s="4" t="s">
        <v>1323</v>
      </c>
      <c r="D112" s="1516"/>
      <c r="E112" s="1249"/>
      <c r="F112" s="1390"/>
      <c r="G112" s="1492"/>
      <c r="H112" s="823"/>
      <c r="I112" s="52" t="s">
        <v>1322</v>
      </c>
      <c r="J112" s="111"/>
      <c r="K112" s="823"/>
      <c r="L112" s="108"/>
      <c r="M112" s="201"/>
      <c r="N112" s="196"/>
      <c r="O112" s="69"/>
      <c r="P112" s="69"/>
      <c r="AH112" s="11">
        <v>0</v>
      </c>
    </row>
    <row r="113" spans="1:34" s="11" customFormat="1" ht="0.75" hidden="1" customHeight="1">
      <c r="A113" s="34"/>
      <c r="B113" s="34"/>
      <c r="C113" s="4" t="s">
        <v>1330</v>
      </c>
      <c r="D113" s="1516"/>
      <c r="E113" s="1249"/>
      <c r="F113" s="1390"/>
      <c r="G113" s="227"/>
      <c r="H113" s="823"/>
      <c r="I113" s="52"/>
      <c r="J113" s="111"/>
      <c r="K113" s="823"/>
      <c r="L113" s="108"/>
      <c r="M113" s="201"/>
      <c r="N113" s="196"/>
      <c r="O113" s="69"/>
      <c r="P113" s="69"/>
      <c r="AH113" s="11">
        <v>0</v>
      </c>
    </row>
    <row r="114" spans="1:34" s="11" customFormat="1" ht="18.75" hidden="1" customHeight="1">
      <c r="A114" s="34" t="s">
        <v>231</v>
      </c>
      <c r="B114" s="34" t="s">
        <v>232</v>
      </c>
      <c r="C114" s="4"/>
      <c r="D114" s="1516"/>
      <c r="E114" s="1249"/>
      <c r="F114" s="1390" t="str">
        <f>INDEX(PT_DIFFERENTIATION_VTAR,MATCH(A114,PT_DIFFERENTIATION_VTAR_ID,0))</f>
        <v>Тариф на питьевую воду (питьевое водоснабжение)</v>
      </c>
      <c r="G114" s="1492" t="str">
        <f>INDEX(PT_DIFFERENTIATION_NTAR,MATCH(B114,PT_DIFFERENTIATION_NTAR_ID,0))</f>
        <v/>
      </c>
      <c r="H114" s="763"/>
      <c r="I114" s="948"/>
      <c r="J114" s="974"/>
      <c r="K114" s="366"/>
      <c r="L114" s="763" t="s">
        <v>312</v>
      </c>
      <c r="M114" s="201"/>
      <c r="N114" s="196"/>
      <c r="O114" s="69"/>
      <c r="P114" s="69"/>
      <c r="AH114" s="11">
        <v>0</v>
      </c>
    </row>
    <row r="115" spans="1:34" s="11" customFormat="1" ht="18.75" hidden="1" customHeight="1">
      <c r="A115" s="34"/>
      <c r="B115" s="34"/>
      <c r="C115" s="4" t="s">
        <v>1323</v>
      </c>
      <c r="D115" s="1516"/>
      <c r="E115" s="1249"/>
      <c r="F115" s="1390"/>
      <c r="G115" s="1492"/>
      <c r="H115" s="823"/>
      <c r="I115" s="52" t="s">
        <v>1322</v>
      </c>
      <c r="J115" s="111"/>
      <c r="K115" s="823"/>
      <c r="L115" s="108"/>
      <c r="M115" s="201"/>
      <c r="N115" s="196"/>
      <c r="O115" s="69"/>
      <c r="P115" s="69"/>
      <c r="AH115" s="11">
        <v>0</v>
      </c>
    </row>
    <row r="116" spans="1:34" s="11" customFormat="1" ht="0.75" hidden="1" customHeight="1">
      <c r="A116" s="34"/>
      <c r="B116" s="34"/>
      <c r="C116" s="4" t="s">
        <v>1330</v>
      </c>
      <c r="D116" s="1516"/>
      <c r="E116" s="1249"/>
      <c r="F116" s="1390"/>
      <c r="G116" s="227"/>
      <c r="H116" s="823"/>
      <c r="I116" s="52"/>
      <c r="J116" s="111"/>
      <c r="K116" s="823"/>
      <c r="L116" s="108"/>
      <c r="M116" s="201"/>
      <c r="N116" s="196"/>
      <c r="O116" s="69"/>
      <c r="P116" s="69"/>
      <c r="AH116" s="11">
        <v>0</v>
      </c>
    </row>
    <row r="117" spans="1:34" s="11" customFormat="1" ht="18.75" hidden="1" customHeight="1">
      <c r="A117" s="34" t="s">
        <v>236</v>
      </c>
      <c r="B117" s="34" t="s">
        <v>237</v>
      </c>
      <c r="C117" s="4"/>
      <c r="D117" s="1516"/>
      <c r="E117" s="1249"/>
      <c r="F117" s="1390" t="str">
        <f>INDEX(PT_DIFFERENTIATION_VTAR,MATCH(A117,PT_DIFFERENTIATION_VTAR_ID,0))</f>
        <v>Тариф на техническую воду</v>
      </c>
      <c r="G117" s="1492" t="str">
        <f>INDEX(PT_DIFFERENTIATION_NTAR,MATCH(B117,PT_DIFFERENTIATION_NTAR_ID,0))</f>
        <v/>
      </c>
      <c r="H117" s="763"/>
      <c r="I117" s="948"/>
      <c r="J117" s="974"/>
      <c r="K117" s="366"/>
      <c r="L117" s="763" t="s">
        <v>312</v>
      </c>
      <c r="M117" s="201"/>
      <c r="N117" s="196"/>
      <c r="O117" s="69"/>
      <c r="P117" s="69"/>
      <c r="AH117" s="11">
        <v>0</v>
      </c>
    </row>
    <row r="118" spans="1:34" s="11" customFormat="1" ht="18.75" hidden="1" customHeight="1">
      <c r="A118" s="34"/>
      <c r="B118" s="34"/>
      <c r="C118" s="4" t="s">
        <v>1323</v>
      </c>
      <c r="D118" s="1516"/>
      <c r="E118" s="1249"/>
      <c r="F118" s="1390"/>
      <c r="G118" s="1492"/>
      <c r="H118" s="823"/>
      <c r="I118" s="52" t="s">
        <v>1322</v>
      </c>
      <c r="J118" s="111"/>
      <c r="K118" s="823"/>
      <c r="L118" s="108"/>
      <c r="M118" s="201"/>
      <c r="N118" s="196"/>
      <c r="O118" s="69"/>
      <c r="P118" s="69"/>
      <c r="AH118" s="11">
        <v>0</v>
      </c>
    </row>
    <row r="119" spans="1:34" s="11" customFormat="1" ht="0.75" hidden="1" customHeight="1">
      <c r="A119" s="34"/>
      <c r="B119" s="34"/>
      <c r="C119" s="4" t="s">
        <v>1330</v>
      </c>
      <c r="D119" s="1516"/>
      <c r="E119" s="1249"/>
      <c r="F119" s="1390"/>
      <c r="G119" s="227"/>
      <c r="H119" s="823"/>
      <c r="I119" s="52"/>
      <c r="J119" s="111"/>
      <c r="K119" s="823"/>
      <c r="L119" s="108"/>
      <c r="M119" s="201"/>
      <c r="N119" s="196"/>
      <c r="O119" s="69"/>
      <c r="P119" s="69"/>
      <c r="AH119" s="11">
        <v>0</v>
      </c>
    </row>
    <row r="120" spans="1:34" s="11" customFormat="1" ht="18.75" hidden="1" customHeight="1">
      <c r="A120" s="34" t="s">
        <v>241</v>
      </c>
      <c r="B120" s="34" t="s">
        <v>242</v>
      </c>
      <c r="C120" s="4"/>
      <c r="D120" s="1516"/>
      <c r="E120" s="1249"/>
      <c r="F120" s="1390" t="str">
        <f>INDEX(PT_DIFFERENTIATION_VTAR,MATCH(A120,PT_DIFFERENTIATION_VTAR_ID,0))</f>
        <v>Тариф на транспортировку воды</v>
      </c>
      <c r="G120" s="1492" t="str">
        <f>INDEX(PT_DIFFERENTIATION_NTAR,MATCH(B120,PT_DIFFERENTIATION_NTAR_ID,0))</f>
        <v/>
      </c>
      <c r="H120" s="763"/>
      <c r="I120" s="948"/>
      <c r="J120" s="974"/>
      <c r="K120" s="366"/>
      <c r="L120" s="763" t="s">
        <v>312</v>
      </c>
      <c r="M120" s="201"/>
      <c r="N120" s="196"/>
      <c r="O120" s="69"/>
      <c r="P120" s="69"/>
      <c r="AH120" s="11">
        <v>0</v>
      </c>
    </row>
    <row r="121" spans="1:34" s="11" customFormat="1" ht="18.75" hidden="1" customHeight="1">
      <c r="A121" s="34"/>
      <c r="B121" s="34"/>
      <c r="C121" s="4" t="s">
        <v>1323</v>
      </c>
      <c r="D121" s="1516"/>
      <c r="E121" s="1249"/>
      <c r="F121" s="1390"/>
      <c r="G121" s="1492"/>
      <c r="H121" s="823"/>
      <c r="I121" s="52" t="s">
        <v>1322</v>
      </c>
      <c r="J121" s="111"/>
      <c r="K121" s="823"/>
      <c r="L121" s="108"/>
      <c r="M121" s="201"/>
      <c r="N121" s="196"/>
      <c r="O121" s="69"/>
      <c r="P121" s="69"/>
      <c r="AH121" s="11">
        <v>0</v>
      </c>
    </row>
    <row r="122" spans="1:34" s="11" customFormat="1" ht="0.75" hidden="1" customHeight="1">
      <c r="A122" s="34"/>
      <c r="B122" s="34"/>
      <c r="C122" s="4" t="s">
        <v>1330</v>
      </c>
      <c r="D122" s="1516"/>
      <c r="E122" s="1249"/>
      <c r="F122" s="1390"/>
      <c r="G122" s="227"/>
      <c r="H122" s="823"/>
      <c r="I122" s="52"/>
      <c r="J122" s="111"/>
      <c r="K122" s="823"/>
      <c r="L122" s="108"/>
      <c r="M122" s="201"/>
      <c r="N122" s="196"/>
      <c r="O122" s="69"/>
      <c r="P122" s="69"/>
      <c r="AH122" s="11">
        <v>0</v>
      </c>
    </row>
    <row r="123" spans="1:34" s="11" customFormat="1" ht="18.75" hidden="1" customHeight="1">
      <c r="A123" s="34" t="s">
        <v>246</v>
      </c>
      <c r="B123" s="34" t="s">
        <v>247</v>
      </c>
      <c r="C123" s="4"/>
      <c r="D123" s="1516"/>
      <c r="E123" s="1249"/>
      <c r="F123" s="1390" t="str">
        <f>INDEX(PT_DIFFERENTIATION_VTAR,MATCH(A123,PT_DIFFERENTIATION_VTAR_ID,0))</f>
        <v>Тариф на подвоз воды</v>
      </c>
      <c r="G123" s="1492" t="str">
        <f>INDEX(PT_DIFFERENTIATION_NTAR,MATCH(B123,PT_DIFFERENTIATION_NTAR_ID,0))</f>
        <v/>
      </c>
      <c r="H123" s="763"/>
      <c r="I123" s="948"/>
      <c r="J123" s="974"/>
      <c r="K123" s="366"/>
      <c r="L123" s="763" t="s">
        <v>312</v>
      </c>
      <c r="M123" s="201"/>
      <c r="N123" s="196"/>
      <c r="O123" s="69"/>
      <c r="P123" s="69"/>
      <c r="AH123" s="11">
        <v>0</v>
      </c>
    </row>
    <row r="124" spans="1:34" s="11" customFormat="1" ht="18.75" hidden="1" customHeight="1">
      <c r="A124" s="34"/>
      <c r="B124" s="34"/>
      <c r="C124" s="4" t="s">
        <v>1323</v>
      </c>
      <c r="D124" s="1516"/>
      <c r="E124" s="1249"/>
      <c r="F124" s="1390"/>
      <c r="G124" s="1492"/>
      <c r="H124" s="823"/>
      <c r="I124" s="52" t="s">
        <v>1322</v>
      </c>
      <c r="J124" s="111"/>
      <c r="K124" s="823"/>
      <c r="L124" s="108"/>
      <c r="M124" s="201"/>
      <c r="N124" s="196"/>
      <c r="O124" s="69"/>
      <c r="P124" s="69"/>
      <c r="AH124" s="11">
        <v>0</v>
      </c>
    </row>
    <row r="125" spans="1:34" s="11" customFormat="1" ht="0.75" hidden="1" customHeight="1">
      <c r="A125" s="34"/>
      <c r="B125" s="34"/>
      <c r="C125" s="4" t="s">
        <v>1330</v>
      </c>
      <c r="D125" s="1516"/>
      <c r="E125" s="1249"/>
      <c r="F125" s="1390"/>
      <c r="G125" s="227"/>
      <c r="H125" s="823"/>
      <c r="I125" s="52"/>
      <c r="J125" s="111"/>
      <c r="K125" s="823"/>
      <c r="L125" s="108"/>
      <c r="M125" s="201"/>
      <c r="N125" s="196"/>
      <c r="O125" s="69"/>
      <c r="P125" s="69"/>
      <c r="AH125" s="11">
        <v>0</v>
      </c>
    </row>
    <row r="126" spans="1:34" s="11" customFormat="1" ht="18.75" hidden="1" customHeight="1">
      <c r="A126" s="34" t="s">
        <v>251</v>
      </c>
      <c r="B126" s="34" t="s">
        <v>252</v>
      </c>
      <c r="C126" s="4"/>
      <c r="D126" s="1516"/>
      <c r="E126" s="1249"/>
      <c r="F126" s="139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92" t="str">
        <f>INDEX(PT_DIFFERENTIATION_NTAR,MATCH(B126,PT_DIFFERENTIATION_NTAR_ID,0))</f>
        <v/>
      </c>
      <c r="H126" s="763"/>
      <c r="I126" s="948"/>
      <c r="J126" s="974"/>
      <c r="K126" s="366"/>
      <c r="L126" s="763" t="s">
        <v>312</v>
      </c>
      <c r="M126" s="201"/>
      <c r="N126" s="196"/>
      <c r="O126" s="69"/>
      <c r="P126" s="69"/>
      <c r="AH126" s="11">
        <v>0</v>
      </c>
    </row>
    <row r="127" spans="1:34" s="11" customFormat="1" ht="18.75" hidden="1" customHeight="1">
      <c r="A127" s="34"/>
      <c r="B127" s="34"/>
      <c r="C127" s="4" t="s">
        <v>1323</v>
      </c>
      <c r="D127" s="1516"/>
      <c r="E127" s="1249"/>
      <c r="F127" s="1390"/>
      <c r="G127" s="1492"/>
      <c r="H127" s="823"/>
      <c r="I127" s="52" t="s">
        <v>1322</v>
      </c>
      <c r="J127" s="111"/>
      <c r="K127" s="823"/>
      <c r="L127" s="108"/>
      <c r="M127" s="201"/>
      <c r="N127" s="196"/>
      <c r="O127" s="69"/>
      <c r="P127" s="69"/>
      <c r="AH127" s="11">
        <v>0</v>
      </c>
    </row>
    <row r="128" spans="1:34" s="11" customFormat="1" ht="0.75" hidden="1" customHeight="1">
      <c r="A128" s="34"/>
      <c r="B128" s="34"/>
      <c r="C128" s="4" t="s">
        <v>1330</v>
      </c>
      <c r="D128" s="1516"/>
      <c r="E128" s="1249"/>
      <c r="F128" s="1390"/>
      <c r="G128" s="227"/>
      <c r="H128" s="823"/>
      <c r="I128" s="52"/>
      <c r="J128" s="111"/>
      <c r="K128" s="823"/>
      <c r="L128" s="108"/>
      <c r="M128" s="201"/>
      <c r="N128" s="196"/>
      <c r="O128" s="69"/>
      <c r="P128" s="69"/>
      <c r="AH128" s="11">
        <v>0</v>
      </c>
    </row>
    <row r="129" spans="1:34" s="11" customFormat="1" ht="18.75" hidden="1" customHeight="1">
      <c r="A129" s="34" t="s">
        <v>256</v>
      </c>
      <c r="B129" s="34" t="s">
        <v>257</v>
      </c>
      <c r="C129" s="4"/>
      <c r="D129" s="1516"/>
      <c r="E129" s="1249"/>
      <c r="F129" s="1390" t="str">
        <f>INDEX(PT_DIFFERENTIATION_VTAR,MATCH(A129,PT_DIFFERENTIATION_VTAR_ID,0))</f>
        <v>Тариф на горячую воду (горячее водоснабжение)</v>
      </c>
      <c r="G129" s="1492" t="str">
        <f>INDEX(PT_DIFFERENTIATION_NTAR,MATCH(B129,PT_DIFFERENTIATION_NTAR_ID,0))</f>
        <v/>
      </c>
      <c r="H129" s="763"/>
      <c r="I129" s="948"/>
      <c r="J129" s="974"/>
      <c r="K129" s="366"/>
      <c r="L129" s="763" t="s">
        <v>312</v>
      </c>
      <c r="M129" s="201"/>
      <c r="N129" s="196"/>
      <c r="O129" s="69"/>
      <c r="P129" s="69"/>
      <c r="AH129" s="11">
        <v>0</v>
      </c>
    </row>
    <row r="130" spans="1:34" s="11" customFormat="1" ht="18.75" hidden="1" customHeight="1">
      <c r="A130" s="34"/>
      <c r="B130" s="34"/>
      <c r="C130" s="4" t="s">
        <v>1323</v>
      </c>
      <c r="D130" s="1516"/>
      <c r="E130" s="1249"/>
      <c r="F130" s="1390"/>
      <c r="G130" s="1492"/>
      <c r="H130" s="823"/>
      <c r="I130" s="52" t="s">
        <v>1322</v>
      </c>
      <c r="J130" s="111"/>
      <c r="K130" s="823"/>
      <c r="L130" s="108"/>
      <c r="M130" s="201"/>
      <c r="N130" s="196"/>
      <c r="O130" s="69"/>
      <c r="P130" s="69"/>
      <c r="AH130" s="11">
        <v>0</v>
      </c>
    </row>
    <row r="131" spans="1:34" s="11" customFormat="1" ht="0.75" hidden="1" customHeight="1">
      <c r="A131" s="34"/>
      <c r="B131" s="34"/>
      <c r="C131" s="4" t="s">
        <v>1330</v>
      </c>
      <c r="D131" s="1516"/>
      <c r="E131" s="1249"/>
      <c r="F131" s="1390"/>
      <c r="G131" s="227"/>
      <c r="H131" s="823"/>
      <c r="I131" s="52"/>
      <c r="J131" s="111"/>
      <c r="K131" s="823"/>
      <c r="L131" s="108"/>
      <c r="M131" s="201"/>
      <c r="N131" s="196"/>
      <c r="O131" s="69"/>
      <c r="P131" s="69"/>
      <c r="AH131" s="11">
        <v>0</v>
      </c>
    </row>
    <row r="132" spans="1:34" s="11" customFormat="1" ht="18.75" hidden="1" customHeight="1">
      <c r="A132" s="34" t="s">
        <v>261</v>
      </c>
      <c r="B132" s="34" t="s">
        <v>262</v>
      </c>
      <c r="C132" s="4"/>
      <c r="D132" s="1516"/>
      <c r="E132" s="1249"/>
      <c r="F132" s="1390" t="str">
        <f>INDEX(PT_DIFFERENTIATION_VTAR,MATCH(A132,PT_DIFFERENTIATION_VTAR_ID,0))</f>
        <v>Тариф на транспортировку горячей воды</v>
      </c>
      <c r="G132" s="1492" t="str">
        <f>INDEX(PT_DIFFERENTIATION_NTAR,MATCH(B132,PT_DIFFERENTIATION_NTAR_ID,0))</f>
        <v/>
      </c>
      <c r="H132" s="763"/>
      <c r="I132" s="948"/>
      <c r="J132" s="974"/>
      <c r="K132" s="366"/>
      <c r="L132" s="763" t="s">
        <v>312</v>
      </c>
      <c r="M132" s="201"/>
      <c r="N132" s="196"/>
      <c r="O132" s="69"/>
      <c r="P132" s="69"/>
      <c r="AH132" s="11">
        <v>0</v>
      </c>
    </row>
    <row r="133" spans="1:34" s="11" customFormat="1" ht="18.75" hidden="1" customHeight="1">
      <c r="A133" s="34"/>
      <c r="B133" s="34"/>
      <c r="C133" s="4" t="s">
        <v>1323</v>
      </c>
      <c r="D133" s="1516"/>
      <c r="E133" s="1249"/>
      <c r="F133" s="1390"/>
      <c r="G133" s="1492"/>
      <c r="H133" s="823"/>
      <c r="I133" s="52" t="s">
        <v>1322</v>
      </c>
      <c r="J133" s="111"/>
      <c r="K133" s="823"/>
      <c r="L133" s="108"/>
      <c r="M133" s="201"/>
      <c r="N133" s="196"/>
      <c r="O133" s="69"/>
      <c r="P133" s="69"/>
      <c r="AH133" s="11">
        <v>0</v>
      </c>
    </row>
    <row r="134" spans="1:34" s="11" customFormat="1" ht="0.75" hidden="1" customHeight="1">
      <c r="A134" s="34"/>
      <c r="B134" s="34"/>
      <c r="C134" s="4" t="s">
        <v>1330</v>
      </c>
      <c r="D134" s="1516"/>
      <c r="E134" s="1249"/>
      <c r="F134" s="1390"/>
      <c r="G134" s="227"/>
      <c r="H134" s="823"/>
      <c r="I134" s="52"/>
      <c r="J134" s="111"/>
      <c r="K134" s="823"/>
      <c r="L134" s="108"/>
      <c r="M134" s="201"/>
      <c r="N134" s="196"/>
      <c r="O134" s="69"/>
      <c r="P134" s="69"/>
      <c r="AH134" s="11">
        <v>0</v>
      </c>
    </row>
    <row r="135" spans="1:34" s="11" customFormat="1" ht="18.75" hidden="1" customHeight="1">
      <c r="A135" s="34" t="s">
        <v>266</v>
      </c>
      <c r="B135" s="34" t="s">
        <v>267</v>
      </c>
      <c r="C135" s="4"/>
      <c r="D135" s="1516"/>
      <c r="E135" s="1249"/>
      <c r="F135" s="1390"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92" t="str">
        <f>INDEX(PT_DIFFERENTIATION_NTAR,MATCH(B135,PT_DIFFERENTIATION_NTAR_ID,0))</f>
        <v/>
      </c>
      <c r="H135" s="763"/>
      <c r="I135" s="948"/>
      <c r="J135" s="974"/>
      <c r="K135" s="366"/>
      <c r="L135" s="763" t="s">
        <v>312</v>
      </c>
      <c r="M135" s="201"/>
      <c r="N135" s="196"/>
      <c r="O135" s="69"/>
      <c r="P135" s="69"/>
      <c r="AH135" s="11">
        <v>0</v>
      </c>
    </row>
    <row r="136" spans="1:34" s="11" customFormat="1" ht="18.75" hidden="1" customHeight="1">
      <c r="A136" s="34"/>
      <c r="B136" s="34"/>
      <c r="C136" s="4" t="s">
        <v>1323</v>
      </c>
      <c r="D136" s="1516"/>
      <c r="E136" s="1249"/>
      <c r="F136" s="1390"/>
      <c r="G136" s="1492"/>
      <c r="H136" s="823"/>
      <c r="I136" s="52" t="s">
        <v>1322</v>
      </c>
      <c r="J136" s="111"/>
      <c r="K136" s="823"/>
      <c r="L136" s="108"/>
      <c r="M136" s="201"/>
      <c r="N136" s="196"/>
      <c r="O136" s="69"/>
      <c r="P136" s="69"/>
      <c r="AH136" s="11">
        <v>0</v>
      </c>
    </row>
    <row r="137" spans="1:34" s="11" customFormat="1" ht="0.75" hidden="1" customHeight="1">
      <c r="A137" s="34"/>
      <c r="B137" s="34"/>
      <c r="C137" s="4" t="s">
        <v>1330</v>
      </c>
      <c r="D137" s="1516"/>
      <c r="E137" s="1249"/>
      <c r="F137" s="1390"/>
      <c r="G137" s="227"/>
      <c r="H137" s="823"/>
      <c r="I137" s="52"/>
      <c r="J137" s="111"/>
      <c r="K137" s="823"/>
      <c r="L137" s="108"/>
      <c r="M137" s="201"/>
      <c r="N137" s="196"/>
      <c r="O137" s="69"/>
      <c r="P137" s="69"/>
      <c r="AH137" s="11">
        <v>0</v>
      </c>
    </row>
    <row r="138" spans="1:34" s="11" customFormat="1" ht="18.75" hidden="1" customHeight="1">
      <c r="A138" s="34" t="s">
        <v>271</v>
      </c>
      <c r="B138" s="34" t="s">
        <v>272</v>
      </c>
      <c r="C138" s="4"/>
      <c r="D138" s="1516"/>
      <c r="E138" s="1249"/>
      <c r="F138" s="1390" t="str">
        <f>INDEX(PT_DIFFERENTIATION_VTAR,MATCH(A138,PT_DIFFERENTIATION_VTAR_ID,0))</f>
        <v>Тариф на водоотведение</v>
      </c>
      <c r="G138" s="1492" t="str">
        <f>INDEX(PT_DIFFERENTIATION_NTAR,MATCH(B138,PT_DIFFERENTIATION_NTAR_ID,0))</f>
        <v/>
      </c>
      <c r="H138" s="763"/>
      <c r="I138" s="948"/>
      <c r="J138" s="974"/>
      <c r="K138" s="366"/>
      <c r="L138" s="763" t="s">
        <v>312</v>
      </c>
      <c r="M138" s="201"/>
      <c r="N138" s="196"/>
      <c r="O138" s="69"/>
      <c r="P138" s="69"/>
      <c r="AH138" s="11">
        <v>0</v>
      </c>
    </row>
    <row r="139" spans="1:34" s="11" customFormat="1" ht="18.75" hidden="1" customHeight="1">
      <c r="A139" s="34"/>
      <c r="B139" s="34"/>
      <c r="C139" s="4" t="s">
        <v>1323</v>
      </c>
      <c r="D139" s="1516"/>
      <c r="E139" s="1249"/>
      <c r="F139" s="1390"/>
      <c r="G139" s="1492"/>
      <c r="H139" s="823"/>
      <c r="I139" s="52" t="s">
        <v>1322</v>
      </c>
      <c r="J139" s="111"/>
      <c r="K139" s="823"/>
      <c r="L139" s="108"/>
      <c r="M139" s="201"/>
      <c r="N139" s="196"/>
      <c r="O139" s="69"/>
      <c r="P139" s="69"/>
      <c r="AH139" s="11">
        <v>0</v>
      </c>
    </row>
    <row r="140" spans="1:34" s="11" customFormat="1" ht="0.75" hidden="1" customHeight="1">
      <c r="A140" s="34"/>
      <c r="B140" s="34"/>
      <c r="C140" s="4" t="s">
        <v>1330</v>
      </c>
      <c r="D140" s="1516"/>
      <c r="E140" s="1249"/>
      <c r="F140" s="1390"/>
      <c r="G140" s="227"/>
      <c r="H140" s="823"/>
      <c r="I140" s="52"/>
      <c r="J140" s="111"/>
      <c r="K140" s="823"/>
      <c r="L140" s="108"/>
      <c r="M140" s="201"/>
      <c r="N140" s="196"/>
      <c r="O140" s="69"/>
      <c r="P140" s="69"/>
      <c r="AH140" s="11">
        <v>0</v>
      </c>
    </row>
    <row r="141" spans="1:34" s="11" customFormat="1" ht="18.75" hidden="1" customHeight="1">
      <c r="A141" s="34" t="s">
        <v>276</v>
      </c>
      <c r="B141" s="34" t="s">
        <v>277</v>
      </c>
      <c r="C141" s="4"/>
      <c r="D141" s="1516"/>
      <c r="E141" s="1249"/>
      <c r="F141" s="1390" t="str">
        <f>INDEX(PT_DIFFERENTIATION_VTAR,MATCH(A141,PT_DIFFERENTIATION_VTAR_ID,0))</f>
        <v>Тариф на транспортировку сточных вод</v>
      </c>
      <c r="G141" s="1492" t="str">
        <f>INDEX(PT_DIFFERENTIATION_NTAR,MATCH(B141,PT_DIFFERENTIATION_NTAR_ID,0))</f>
        <v/>
      </c>
      <c r="H141" s="763"/>
      <c r="I141" s="948"/>
      <c r="J141" s="974"/>
      <c r="K141" s="366"/>
      <c r="L141" s="763" t="s">
        <v>312</v>
      </c>
      <c r="M141" s="201"/>
      <c r="N141" s="196"/>
      <c r="O141" s="69"/>
      <c r="P141" s="69"/>
      <c r="AH141" s="11">
        <v>0</v>
      </c>
    </row>
    <row r="142" spans="1:34" s="11" customFormat="1" ht="18.75" hidden="1" customHeight="1">
      <c r="A142" s="34"/>
      <c r="B142" s="34"/>
      <c r="C142" s="4" t="s">
        <v>1323</v>
      </c>
      <c r="D142" s="1516"/>
      <c r="E142" s="1249"/>
      <c r="F142" s="1390"/>
      <c r="G142" s="1492"/>
      <c r="H142" s="823"/>
      <c r="I142" s="52" t="s">
        <v>1322</v>
      </c>
      <c r="J142" s="111"/>
      <c r="K142" s="823"/>
      <c r="L142" s="108"/>
      <c r="M142" s="201"/>
      <c r="N142" s="196"/>
      <c r="O142" s="69"/>
      <c r="P142" s="69"/>
      <c r="AH142" s="11">
        <v>0</v>
      </c>
    </row>
    <row r="143" spans="1:34" s="11" customFormat="1" ht="0.75" hidden="1" customHeight="1">
      <c r="A143" s="34"/>
      <c r="B143" s="34"/>
      <c r="C143" s="4" t="s">
        <v>1330</v>
      </c>
      <c r="D143" s="1516"/>
      <c r="E143" s="1249"/>
      <c r="F143" s="1390"/>
      <c r="G143" s="227"/>
      <c r="H143" s="823"/>
      <c r="I143" s="52"/>
      <c r="J143" s="111"/>
      <c r="K143" s="823"/>
      <c r="L143" s="108"/>
      <c r="M143" s="201"/>
      <c r="N143" s="196"/>
      <c r="O143" s="69"/>
      <c r="P143" s="69"/>
      <c r="AH143" s="11">
        <v>0</v>
      </c>
    </row>
    <row r="144" spans="1:34" s="11" customFormat="1" ht="18.75" hidden="1" customHeight="1">
      <c r="A144" s="34" t="s">
        <v>281</v>
      </c>
      <c r="B144" s="34" t="s">
        <v>282</v>
      </c>
      <c r="C144" s="4"/>
      <c r="D144" s="1516"/>
      <c r="E144" s="1249"/>
      <c r="F144" s="1390" t="str">
        <f>INDEX(PT_DIFFERENTIATION_VTAR,MATCH(A144,PT_DIFFERENTIATION_VTAR_ID,0))</f>
        <v>Тариф на подключение (технологическое присоединение) к централизованной системе водоотведения</v>
      </c>
      <c r="G144" s="1492" t="str">
        <f>INDEX(PT_DIFFERENTIATION_NTAR,MATCH(B144,PT_DIFFERENTIATION_NTAR_ID,0))</f>
        <v/>
      </c>
      <c r="H144" s="763"/>
      <c r="I144" s="948"/>
      <c r="J144" s="974"/>
      <c r="K144" s="366"/>
      <c r="L144" s="763" t="s">
        <v>312</v>
      </c>
      <c r="M144" s="201"/>
      <c r="N144" s="196"/>
      <c r="O144" s="69"/>
      <c r="P144" s="69"/>
      <c r="AH144" s="11">
        <v>0</v>
      </c>
    </row>
    <row r="145" spans="1:34" s="11" customFormat="1" ht="18.75" hidden="1" customHeight="1">
      <c r="A145" s="34"/>
      <c r="B145" s="34"/>
      <c r="C145" s="4" t="s">
        <v>1323</v>
      </c>
      <c r="D145" s="1516"/>
      <c r="E145" s="1249"/>
      <c r="F145" s="1390"/>
      <c r="G145" s="1492"/>
      <c r="H145" s="823"/>
      <c r="I145" s="52" t="s">
        <v>1322</v>
      </c>
      <c r="J145" s="111"/>
      <c r="K145" s="823"/>
      <c r="L145" s="108"/>
      <c r="M145" s="201"/>
      <c r="N145" s="196"/>
      <c r="O145" s="69"/>
      <c r="P145" s="69"/>
      <c r="AH145" s="11">
        <v>0</v>
      </c>
    </row>
    <row r="146" spans="1:34" s="11" customFormat="1" ht="1.1499999999999999" customHeight="1">
      <c r="A146" s="34"/>
      <c r="B146" s="34"/>
      <c r="C146" s="4" t="s">
        <v>1330</v>
      </c>
      <c r="D146" s="1516"/>
      <c r="E146" s="1249"/>
      <c r="F146" s="1390"/>
      <c r="G146" s="227"/>
      <c r="H146" s="823"/>
      <c r="I146" s="52"/>
      <c r="J146" s="111"/>
      <c r="K146" s="823"/>
      <c r="L146" s="108"/>
      <c r="M146" s="201"/>
      <c r="N146" s="196"/>
      <c r="O146" s="69"/>
      <c r="P146" s="69"/>
      <c r="AH146" s="11">
        <v>1</v>
      </c>
    </row>
    <row r="147" spans="1:34" ht="19.899999999999999" customHeight="1">
      <c r="A147" s="34"/>
      <c r="B147" s="34"/>
      <c r="D147" s="28"/>
      <c r="E147" s="64" t="s">
        <v>91</v>
      </c>
      <c r="F147" s="151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515"/>
      <c r="H147" s="1515"/>
      <c r="I147" s="1515"/>
      <c r="J147" s="1515"/>
      <c r="K147" s="1515"/>
      <c r="L147" s="1515"/>
      <c r="M147" s="114"/>
      <c r="N147" s="196"/>
      <c r="AH147" s="11">
        <v>19</v>
      </c>
    </row>
    <row r="148" spans="1:34" s="11" customFormat="1" ht="60.75" hidden="1" customHeight="1">
      <c r="A148" s="34" t="s">
        <v>163</v>
      </c>
      <c r="B148" s="34" t="s">
        <v>164</v>
      </c>
      <c r="C148" s="4"/>
      <c r="D148" s="1516"/>
      <c r="E148" s="1249"/>
      <c r="F148" s="139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92" t="str">
        <f>INDEX(PT_DIFFERENTIATION_NTAR,MATCH(B148,PT_DIFFERENTIATION_NTAR_ID,0))</f>
        <v/>
      </c>
      <c r="H148" s="763"/>
      <c r="I148" s="948"/>
      <c r="J148" s="974"/>
      <c r="K148" s="366"/>
      <c r="L148" s="763" t="s">
        <v>312</v>
      </c>
      <c r="M148"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1323</v>
      </c>
      <c r="D149" s="1516"/>
      <c r="E149" s="1249"/>
      <c r="F149" s="1390"/>
      <c r="G149" s="1492"/>
      <c r="H149" s="823"/>
      <c r="I149" s="52" t="s">
        <v>1322</v>
      </c>
      <c r="J149" s="111"/>
      <c r="K149" s="823"/>
      <c r="L149" s="108"/>
      <c r="M149" s="1210"/>
      <c r="N149" s="196"/>
      <c r="O149" s="69"/>
      <c r="P149" s="69"/>
      <c r="AH149" s="11">
        <v>0</v>
      </c>
    </row>
    <row r="150" spans="1:34" s="11" customFormat="1" ht="0.75" hidden="1" customHeight="1">
      <c r="A150" s="34"/>
      <c r="B150" s="34"/>
      <c r="C150" s="4" t="s">
        <v>1330</v>
      </c>
      <c r="D150" s="1516"/>
      <c r="E150" s="1249"/>
      <c r="F150" s="1390"/>
      <c r="G150" s="227"/>
      <c r="H150" s="823"/>
      <c r="I150" s="52"/>
      <c r="J150" s="111"/>
      <c r="K150" s="823"/>
      <c r="L150" s="108"/>
      <c r="M150" s="1210"/>
      <c r="N150" s="196"/>
      <c r="O150" s="69"/>
      <c r="P150" s="69"/>
      <c r="AH150" s="11">
        <v>0</v>
      </c>
    </row>
    <row r="151" spans="1:34" s="11" customFormat="1" ht="45" hidden="1" customHeight="1">
      <c r="A151" s="34" t="s">
        <v>168</v>
      </c>
      <c r="B151" s="34" t="s">
        <v>169</v>
      </c>
      <c r="C151" s="4"/>
      <c r="D151" s="1516"/>
      <c r="E151" s="1249"/>
      <c r="F151" s="1390" t="str">
        <f>INDEX(PT_DIFFERENTIATION_VTAR,MATCH(A151,PT_DIFFERENTIATION_VTAR_ID,0))</f>
        <v/>
      </c>
      <c r="G151" s="1492" t="str">
        <f>INDEX(PT_DIFFERENTIATION_NTAR,MATCH(B151,PT_DIFFERENTIATION_NTAR_ID,0))</f>
        <v/>
      </c>
      <c r="H151" s="763"/>
      <c r="I151" s="948"/>
      <c r="J151" s="974"/>
      <c r="K151" s="366"/>
      <c r="L151" s="763" t="s">
        <v>312</v>
      </c>
      <c r="M151" s="1211"/>
      <c r="N151" s="196"/>
      <c r="O151" s="69"/>
      <c r="P151" s="69"/>
      <c r="AH151" s="11">
        <v>0</v>
      </c>
    </row>
    <row r="152" spans="1:34" s="11" customFormat="1" ht="18.75" hidden="1" customHeight="1">
      <c r="A152" s="34"/>
      <c r="B152" s="34"/>
      <c r="C152" s="4" t="s">
        <v>1323</v>
      </c>
      <c r="D152" s="1516"/>
      <c r="E152" s="1249"/>
      <c r="F152" s="1390"/>
      <c r="G152" s="1492"/>
      <c r="H152" s="823"/>
      <c r="I152" s="52" t="s">
        <v>1322</v>
      </c>
      <c r="J152" s="111"/>
      <c r="K152" s="823"/>
      <c r="L152" s="108"/>
      <c r="M152" s="1003"/>
      <c r="N152" s="196"/>
      <c r="O152" s="69"/>
      <c r="P152" s="69"/>
      <c r="AH152" s="11">
        <v>0</v>
      </c>
    </row>
    <row r="153" spans="1:34" s="11" customFormat="1" ht="0.75" hidden="1" customHeight="1">
      <c r="A153" s="34"/>
      <c r="B153" s="34"/>
      <c r="C153" s="4" t="s">
        <v>1330</v>
      </c>
      <c r="D153" s="1516"/>
      <c r="E153" s="1249"/>
      <c r="F153" s="1390"/>
      <c r="G153" s="227"/>
      <c r="H153" s="823"/>
      <c r="I153" s="52"/>
      <c r="J153" s="111"/>
      <c r="K153" s="823"/>
      <c r="L153" s="108"/>
      <c r="M153" s="201"/>
      <c r="N153" s="196"/>
      <c r="O153" s="69"/>
      <c r="P153" s="69"/>
      <c r="AH153" s="11">
        <v>0</v>
      </c>
    </row>
    <row r="154" spans="1:34" s="11" customFormat="1" ht="45" hidden="1" customHeight="1">
      <c r="A154" s="34" t="s">
        <v>175</v>
      </c>
      <c r="B154" s="34" t="s">
        <v>176</v>
      </c>
      <c r="C154" s="4"/>
      <c r="D154" s="1516"/>
      <c r="E154" s="1249"/>
      <c r="F154" s="139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92" t="str">
        <f>INDEX(PT_DIFFERENTIATION_NTAR,MATCH(B154,PT_DIFFERENTIATION_NTAR_ID,0))</f>
        <v/>
      </c>
      <c r="H154" s="763"/>
      <c r="I154" s="948"/>
      <c r="J154" s="974"/>
      <c r="K154" s="366"/>
      <c r="L154" s="763" t="s">
        <v>312</v>
      </c>
      <c r="M154" s="201"/>
      <c r="N154" s="196"/>
      <c r="O154" s="69"/>
      <c r="P154" s="69"/>
      <c r="AH154" s="11">
        <v>0</v>
      </c>
    </row>
    <row r="155" spans="1:34" s="11" customFormat="1" ht="18.75" hidden="1" customHeight="1">
      <c r="A155" s="34"/>
      <c r="B155" s="34"/>
      <c r="C155" s="4" t="s">
        <v>1323</v>
      </c>
      <c r="D155" s="1516"/>
      <c r="E155" s="1249"/>
      <c r="F155" s="1390"/>
      <c r="G155" s="1492"/>
      <c r="H155" s="823"/>
      <c r="I155" s="52" t="s">
        <v>1322</v>
      </c>
      <c r="J155" s="111"/>
      <c r="K155" s="823"/>
      <c r="L155" s="108"/>
      <c r="M155" s="201"/>
      <c r="N155" s="196"/>
      <c r="O155" s="69"/>
      <c r="P155" s="69"/>
      <c r="AH155" s="11">
        <v>0</v>
      </c>
    </row>
    <row r="156" spans="1:34" s="11" customFormat="1" ht="0.75" hidden="1" customHeight="1">
      <c r="A156" s="34"/>
      <c r="B156" s="34"/>
      <c r="C156" s="4" t="s">
        <v>1330</v>
      </c>
      <c r="D156" s="1516"/>
      <c r="E156" s="1249"/>
      <c r="F156" s="1390"/>
      <c r="G156" s="227"/>
      <c r="H156" s="823"/>
      <c r="I156" s="52"/>
      <c r="J156" s="111"/>
      <c r="K156" s="823"/>
      <c r="L156" s="108"/>
      <c r="M156" s="201"/>
      <c r="N156" s="196"/>
      <c r="O156" s="69"/>
      <c r="P156" s="69"/>
      <c r="AH156" s="11">
        <v>0</v>
      </c>
    </row>
    <row r="157" spans="1:34" s="11" customFormat="1" ht="45" hidden="1" customHeight="1">
      <c r="A157" s="34" t="s">
        <v>181</v>
      </c>
      <c r="B157" s="34" t="s">
        <v>182</v>
      </c>
      <c r="C157" s="4"/>
      <c r="D157" s="1516"/>
      <c r="E157" s="1249"/>
      <c r="F157" s="139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92" t="str">
        <f>INDEX(PT_DIFFERENTIATION_NTAR,MATCH(B157,PT_DIFFERENTIATION_NTAR_ID,0))</f>
        <v/>
      </c>
      <c r="H157" s="763"/>
      <c r="I157" s="948"/>
      <c r="J157" s="974"/>
      <c r="K157" s="366"/>
      <c r="L157" s="763" t="s">
        <v>312</v>
      </c>
      <c r="M157" s="201"/>
      <c r="N157" s="196"/>
      <c r="O157" s="69"/>
      <c r="P157" s="69"/>
      <c r="AH157" s="11">
        <v>0</v>
      </c>
    </row>
    <row r="158" spans="1:34" s="11" customFormat="1" ht="18.75" hidden="1" customHeight="1">
      <c r="A158" s="34"/>
      <c r="B158" s="34"/>
      <c r="C158" s="4" t="s">
        <v>1323</v>
      </c>
      <c r="D158" s="1516"/>
      <c r="E158" s="1249"/>
      <c r="F158" s="1390"/>
      <c r="G158" s="1492"/>
      <c r="H158" s="823"/>
      <c r="I158" s="52" t="s">
        <v>1322</v>
      </c>
      <c r="J158" s="111"/>
      <c r="K158" s="823"/>
      <c r="L158" s="108"/>
      <c r="M158" s="201"/>
      <c r="N158" s="196"/>
      <c r="O158" s="69"/>
      <c r="P158" s="69"/>
      <c r="AH158" s="11">
        <v>0</v>
      </c>
    </row>
    <row r="159" spans="1:34" s="11" customFormat="1" ht="0.75" hidden="1" customHeight="1">
      <c r="A159" s="34"/>
      <c r="B159" s="34"/>
      <c r="C159" s="4" t="s">
        <v>1330</v>
      </c>
      <c r="D159" s="1516"/>
      <c r="E159" s="1249"/>
      <c r="F159" s="1390"/>
      <c r="G159" s="227"/>
      <c r="H159" s="823"/>
      <c r="I159" s="52"/>
      <c r="J159" s="111"/>
      <c r="K159" s="823"/>
      <c r="L159" s="108"/>
      <c r="M159" s="201"/>
      <c r="N159" s="196"/>
      <c r="O159" s="69"/>
      <c r="P159" s="69"/>
      <c r="AH159" s="11">
        <v>0</v>
      </c>
    </row>
    <row r="160" spans="1:34" s="11" customFormat="1" ht="18.75" hidden="1" customHeight="1">
      <c r="A160" s="34" t="s">
        <v>187</v>
      </c>
      <c r="B160" s="34" t="s">
        <v>188</v>
      </c>
      <c r="C160" s="4"/>
      <c r="D160" s="1516"/>
      <c r="E160" s="1249"/>
      <c r="F160" s="1390" t="str">
        <f>INDEX(PT_DIFFERENTIATION_VTAR,MATCH(A160,PT_DIFFERENTIATION_VTAR_ID,0))</f>
        <v>Тарифы на услуги по передаче тепловой энергии</v>
      </c>
      <c r="G160" s="1492" t="str">
        <f>INDEX(PT_DIFFERENTIATION_NTAR,MATCH(B160,PT_DIFFERENTIATION_NTAR_ID,0))</f>
        <v/>
      </c>
      <c r="H160" s="763"/>
      <c r="I160" s="948"/>
      <c r="J160" s="974"/>
      <c r="K160" s="366"/>
      <c r="L160" s="763" t="s">
        <v>312</v>
      </c>
      <c r="M160" s="201"/>
      <c r="N160" s="196"/>
      <c r="O160" s="69"/>
      <c r="P160" s="69"/>
      <c r="AH160" s="11">
        <v>0</v>
      </c>
    </row>
    <row r="161" spans="1:34" s="11" customFormat="1" ht="18.75" hidden="1" customHeight="1">
      <c r="A161" s="34"/>
      <c r="B161" s="34"/>
      <c r="C161" s="4" t="s">
        <v>1323</v>
      </c>
      <c r="D161" s="1516"/>
      <c r="E161" s="1249"/>
      <c r="F161" s="1390"/>
      <c r="G161" s="1492"/>
      <c r="H161" s="823"/>
      <c r="I161" s="52" t="s">
        <v>1322</v>
      </c>
      <c r="J161" s="111"/>
      <c r="K161" s="823"/>
      <c r="L161" s="108"/>
      <c r="M161" s="201"/>
      <c r="N161" s="196"/>
      <c r="O161" s="69"/>
      <c r="P161" s="69"/>
      <c r="AH161" s="11">
        <v>0</v>
      </c>
    </row>
    <row r="162" spans="1:34" s="11" customFormat="1" ht="0.75" hidden="1" customHeight="1">
      <c r="A162" s="34"/>
      <c r="B162" s="34"/>
      <c r="C162" s="4" t="s">
        <v>1330</v>
      </c>
      <c r="D162" s="1516"/>
      <c r="E162" s="1249"/>
      <c r="F162" s="1390"/>
      <c r="G162" s="227"/>
      <c r="H162" s="823"/>
      <c r="I162" s="52"/>
      <c r="J162" s="111"/>
      <c r="K162" s="823"/>
      <c r="L162" s="108"/>
      <c r="M162" s="201"/>
      <c r="N162" s="196"/>
      <c r="O162" s="69"/>
      <c r="P162" s="69"/>
      <c r="AH162" s="11">
        <v>0</v>
      </c>
    </row>
    <row r="163" spans="1:34" s="11" customFormat="1" ht="18.75" hidden="1" customHeight="1">
      <c r="A163" s="34" t="s">
        <v>193</v>
      </c>
      <c r="B163" s="34" t="s">
        <v>194</v>
      </c>
      <c r="C163" s="4"/>
      <c r="D163" s="1516"/>
      <c r="E163" s="1249"/>
      <c r="F163" s="1390" t="str">
        <f>INDEX(PT_DIFFERENTIATION_VTAR,MATCH(A163,PT_DIFFERENTIATION_VTAR_ID,0))</f>
        <v>Тарифы на услуги по передаче теплоносителя</v>
      </c>
      <c r="G163" s="1492" t="str">
        <f>INDEX(PT_DIFFERENTIATION_NTAR,MATCH(B163,PT_DIFFERENTIATION_NTAR_ID,0))</f>
        <v/>
      </c>
      <c r="H163" s="763"/>
      <c r="I163" s="948"/>
      <c r="J163" s="974"/>
      <c r="K163" s="366"/>
      <c r="L163" s="763" t="s">
        <v>312</v>
      </c>
      <c r="M163" s="201"/>
      <c r="N163" s="196"/>
      <c r="O163" s="69"/>
      <c r="P163" s="69"/>
      <c r="AH163" s="11">
        <v>0</v>
      </c>
    </row>
    <row r="164" spans="1:34" s="11" customFormat="1" ht="18.75" hidden="1" customHeight="1">
      <c r="A164" s="34"/>
      <c r="B164" s="34"/>
      <c r="C164" s="4" t="s">
        <v>1323</v>
      </c>
      <c r="D164" s="1516"/>
      <c r="E164" s="1249"/>
      <c r="F164" s="1390"/>
      <c r="G164" s="1492"/>
      <c r="H164" s="823"/>
      <c r="I164" s="52" t="s">
        <v>1322</v>
      </c>
      <c r="J164" s="111"/>
      <c r="K164" s="823"/>
      <c r="L164" s="108"/>
      <c r="M164" s="201"/>
      <c r="N164" s="196"/>
      <c r="O164" s="69"/>
      <c r="P164" s="69"/>
      <c r="AH164" s="11">
        <v>0</v>
      </c>
    </row>
    <row r="165" spans="1:34" s="11" customFormat="1" ht="0.75" hidden="1" customHeight="1">
      <c r="A165" s="34"/>
      <c r="B165" s="34"/>
      <c r="C165" s="4" t="s">
        <v>1330</v>
      </c>
      <c r="D165" s="1516"/>
      <c r="E165" s="1249"/>
      <c r="F165" s="1390"/>
      <c r="G165" s="227"/>
      <c r="H165" s="823"/>
      <c r="I165" s="52"/>
      <c r="J165" s="111"/>
      <c r="K165" s="823"/>
      <c r="L165" s="108"/>
      <c r="M165" s="201"/>
      <c r="N165" s="196"/>
      <c r="O165" s="69"/>
      <c r="P165" s="69"/>
      <c r="AH165" s="11">
        <v>0</v>
      </c>
    </row>
    <row r="166" spans="1:34" s="11" customFormat="1" ht="18.75" hidden="1" customHeight="1">
      <c r="A166" s="34" t="s">
        <v>199</v>
      </c>
      <c r="B166" s="34" t="s">
        <v>200</v>
      </c>
      <c r="C166" s="4"/>
      <c r="D166" s="1516"/>
      <c r="E166" s="1249"/>
      <c r="F166" s="139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92" t="str">
        <f>INDEX(PT_DIFFERENTIATION_NTAR,MATCH(B166,PT_DIFFERENTIATION_NTAR_ID,0))</f>
        <v/>
      </c>
      <c r="H166" s="763"/>
      <c r="I166" s="948"/>
      <c r="J166" s="974"/>
      <c r="K166" s="366"/>
      <c r="L166" s="763" t="s">
        <v>312</v>
      </c>
      <c r="M166" s="201"/>
      <c r="N166" s="196"/>
      <c r="O166" s="69"/>
      <c r="P166" s="69"/>
      <c r="AH166" s="11">
        <v>0</v>
      </c>
    </row>
    <row r="167" spans="1:34" s="11" customFormat="1" ht="18.75" hidden="1" customHeight="1">
      <c r="A167" s="34"/>
      <c r="B167" s="34"/>
      <c r="C167" s="4" t="s">
        <v>1323</v>
      </c>
      <c r="D167" s="1516"/>
      <c r="E167" s="1249"/>
      <c r="F167" s="1390"/>
      <c r="G167" s="1492"/>
      <c r="H167" s="823"/>
      <c r="I167" s="52" t="s">
        <v>1322</v>
      </c>
      <c r="J167" s="111"/>
      <c r="K167" s="823"/>
      <c r="L167" s="108"/>
      <c r="M167" s="201"/>
      <c r="N167" s="196"/>
      <c r="O167" s="69"/>
      <c r="P167" s="69"/>
      <c r="AH167" s="11">
        <v>0</v>
      </c>
    </row>
    <row r="168" spans="1:34" s="11" customFormat="1" ht="0.75" hidden="1" customHeight="1">
      <c r="A168" s="34"/>
      <c r="B168" s="34"/>
      <c r="C168" s="4" t="s">
        <v>1330</v>
      </c>
      <c r="D168" s="1516"/>
      <c r="E168" s="1249"/>
      <c r="F168" s="1390"/>
      <c r="G168" s="227"/>
      <c r="H168" s="823"/>
      <c r="I168" s="52"/>
      <c r="J168" s="111"/>
      <c r="K168" s="823"/>
      <c r="L168" s="108"/>
      <c r="M168" s="201"/>
      <c r="N168" s="196"/>
      <c r="O168" s="69"/>
      <c r="P168" s="69"/>
      <c r="AH168" s="11">
        <v>0</v>
      </c>
    </row>
    <row r="169" spans="1:34" s="11" customFormat="1" ht="18.75" hidden="1" customHeight="1">
      <c r="A169" s="34" t="s">
        <v>205</v>
      </c>
      <c r="B169" s="34" t="s">
        <v>206</v>
      </c>
      <c r="C169" s="4"/>
      <c r="D169" s="1516"/>
      <c r="E169" s="1249"/>
      <c r="F169" s="1390" t="str">
        <f>INDEX(PT_DIFFERENTIATION_VTAR,MATCH(A169,PT_DIFFERENTIATION_VTAR_ID,0))</f>
        <v>Плата за подключение (технологическое присоединение) к системе теплоснабжения</v>
      </c>
      <c r="G169" s="1492" t="str">
        <f>INDEX(PT_DIFFERENTIATION_NTAR,MATCH(B169,PT_DIFFERENTIATION_NTAR_ID,0))</f>
        <v/>
      </c>
      <c r="H169" s="763"/>
      <c r="I169" s="948"/>
      <c r="J169" s="974"/>
      <c r="K169" s="366"/>
      <c r="L169" s="763" t="s">
        <v>312</v>
      </c>
      <c r="M169" s="201"/>
      <c r="N169" s="196"/>
      <c r="O169" s="69"/>
      <c r="P169" s="69"/>
      <c r="AH169" s="11">
        <v>0</v>
      </c>
    </row>
    <row r="170" spans="1:34" s="11" customFormat="1" ht="18.75" hidden="1" customHeight="1">
      <c r="A170" s="34"/>
      <c r="B170" s="34"/>
      <c r="C170" s="4" t="s">
        <v>1323</v>
      </c>
      <c r="D170" s="1516"/>
      <c r="E170" s="1249"/>
      <c r="F170" s="1390"/>
      <c r="G170" s="1492"/>
      <c r="H170" s="823"/>
      <c r="I170" s="52" t="s">
        <v>1322</v>
      </c>
      <c r="J170" s="111"/>
      <c r="K170" s="823"/>
      <c r="L170" s="108"/>
      <c r="M170" s="201"/>
      <c r="N170" s="196"/>
      <c r="O170" s="69"/>
      <c r="P170" s="69"/>
      <c r="AH170" s="11">
        <v>0</v>
      </c>
    </row>
    <row r="171" spans="1:34" s="11" customFormat="1" ht="0.75" hidden="1" customHeight="1">
      <c r="A171" s="34"/>
      <c r="B171" s="34"/>
      <c r="C171" s="4" t="s">
        <v>1330</v>
      </c>
      <c r="D171" s="1516"/>
      <c r="E171" s="1249"/>
      <c r="F171" s="1390"/>
      <c r="G171" s="227"/>
      <c r="H171" s="823"/>
      <c r="I171" s="52"/>
      <c r="J171" s="111"/>
      <c r="K171" s="823"/>
      <c r="L171" s="108"/>
      <c r="M171" s="201"/>
      <c r="N171" s="196"/>
      <c r="O171" s="69"/>
      <c r="P171" s="69"/>
      <c r="AH171" s="11">
        <v>0</v>
      </c>
    </row>
    <row r="172" spans="1:34" s="11" customFormat="1" ht="18.75" hidden="1" customHeight="1">
      <c r="A172" s="34" t="s">
        <v>211</v>
      </c>
      <c r="B172" s="34" t="s">
        <v>212</v>
      </c>
      <c r="C172" s="4"/>
      <c r="D172" s="1516"/>
      <c r="E172" s="1249"/>
      <c r="F172" s="1390" t="str">
        <f>INDEX(PT_DIFFERENTIATION_VTAR,MATCH(A172,PT_DIFFERENTIATION_VTAR_ID,0))</f>
        <v>Плата за подключение (технологическое присоединение) к системе теплоснабжения (индивидуальная)</v>
      </c>
      <c r="G172" s="1492" t="str">
        <f>INDEX(PT_DIFFERENTIATION_NTAR,MATCH(B172,PT_DIFFERENTIATION_NTAR_ID,0))</f>
        <v/>
      </c>
      <c r="H172" s="763"/>
      <c r="I172" s="948"/>
      <c r="J172" s="974"/>
      <c r="K172" s="366"/>
      <c r="L172" s="763" t="s">
        <v>312</v>
      </c>
      <c r="M172" s="201"/>
      <c r="N172" s="196"/>
      <c r="O172" s="69"/>
      <c r="P172" s="69"/>
      <c r="AH172" s="11">
        <v>0</v>
      </c>
    </row>
    <row r="173" spans="1:34" s="11" customFormat="1" ht="18.75" hidden="1" customHeight="1">
      <c r="A173" s="34"/>
      <c r="B173" s="34"/>
      <c r="C173" s="4" t="s">
        <v>1323</v>
      </c>
      <c r="D173" s="1516"/>
      <c r="E173" s="1249"/>
      <c r="F173" s="1390"/>
      <c r="G173" s="1492"/>
      <c r="H173" s="823"/>
      <c r="I173" s="52" t="s">
        <v>1322</v>
      </c>
      <c r="J173" s="111"/>
      <c r="K173" s="823"/>
      <c r="L173" s="108"/>
      <c r="M173" s="201"/>
      <c r="N173" s="196"/>
      <c r="O173" s="69"/>
      <c r="P173" s="69"/>
      <c r="AH173" s="11">
        <v>0</v>
      </c>
    </row>
    <row r="174" spans="1:34" s="11" customFormat="1" ht="0.75" hidden="1" customHeight="1">
      <c r="A174" s="34"/>
      <c r="B174" s="34"/>
      <c r="C174" s="4" t="s">
        <v>1330</v>
      </c>
      <c r="D174" s="1516"/>
      <c r="E174" s="1249"/>
      <c r="F174" s="1390"/>
      <c r="G174" s="227"/>
      <c r="H174" s="823"/>
      <c r="I174" s="52"/>
      <c r="J174" s="111"/>
      <c r="K174" s="823"/>
      <c r="L174" s="108"/>
      <c r="M174" s="201"/>
      <c r="N174" s="196"/>
      <c r="O174" s="69"/>
      <c r="P174" s="69"/>
      <c r="AH174" s="11">
        <v>0</v>
      </c>
    </row>
    <row r="175" spans="1:34" s="11" customFormat="1" ht="18.75" hidden="1" customHeight="1">
      <c r="A175" s="34" t="s">
        <v>231</v>
      </c>
      <c r="B175" s="34" t="s">
        <v>232</v>
      </c>
      <c r="C175" s="4"/>
      <c r="D175" s="1516"/>
      <c r="E175" s="1249"/>
      <c r="F175" s="1390" t="str">
        <f>INDEX(PT_DIFFERENTIATION_VTAR,MATCH(A175,PT_DIFFERENTIATION_VTAR_ID,0))</f>
        <v>Тариф на питьевую воду (питьевое водоснабжение)</v>
      </c>
      <c r="G175" s="1492" t="str">
        <f>INDEX(PT_DIFFERENTIATION_NTAR,MATCH(B175,PT_DIFFERENTIATION_NTAR_ID,0))</f>
        <v/>
      </c>
      <c r="H175" s="763"/>
      <c r="I175" s="948"/>
      <c r="J175" s="974"/>
      <c r="K175" s="366"/>
      <c r="L175" s="763" t="s">
        <v>312</v>
      </c>
      <c r="M175" s="201"/>
      <c r="N175" s="196"/>
      <c r="O175" s="69"/>
      <c r="P175" s="69"/>
      <c r="AH175" s="11">
        <v>0</v>
      </c>
    </row>
    <row r="176" spans="1:34" s="11" customFormat="1" ht="18.75" hidden="1" customHeight="1">
      <c r="A176" s="34"/>
      <c r="B176" s="34"/>
      <c r="C176" s="4" t="s">
        <v>1323</v>
      </c>
      <c r="D176" s="1516"/>
      <c r="E176" s="1249"/>
      <c r="F176" s="1390"/>
      <c r="G176" s="1492"/>
      <c r="H176" s="823"/>
      <c r="I176" s="52" t="s">
        <v>1322</v>
      </c>
      <c r="J176" s="111"/>
      <c r="K176" s="823"/>
      <c r="L176" s="108"/>
      <c r="M176" s="201"/>
      <c r="N176" s="196"/>
      <c r="O176" s="69"/>
      <c r="P176" s="69"/>
      <c r="AH176" s="11">
        <v>0</v>
      </c>
    </row>
    <row r="177" spans="1:34" s="11" customFormat="1" ht="0.75" hidden="1" customHeight="1">
      <c r="A177" s="34"/>
      <c r="B177" s="34"/>
      <c r="C177" s="4" t="s">
        <v>1330</v>
      </c>
      <c r="D177" s="1516"/>
      <c r="E177" s="1249"/>
      <c r="F177" s="1390"/>
      <c r="G177" s="227"/>
      <c r="H177" s="823"/>
      <c r="I177" s="52"/>
      <c r="J177" s="111"/>
      <c r="K177" s="823"/>
      <c r="L177" s="108"/>
      <c r="M177" s="201"/>
      <c r="N177" s="196"/>
      <c r="O177" s="69"/>
      <c r="P177" s="69"/>
      <c r="AH177" s="11">
        <v>0</v>
      </c>
    </row>
    <row r="178" spans="1:34" s="11" customFormat="1" ht="18.75" hidden="1" customHeight="1">
      <c r="A178" s="34" t="s">
        <v>236</v>
      </c>
      <c r="B178" s="34" t="s">
        <v>237</v>
      </c>
      <c r="C178" s="4"/>
      <c r="D178" s="1516"/>
      <c r="E178" s="1249"/>
      <c r="F178" s="1390" t="str">
        <f>INDEX(PT_DIFFERENTIATION_VTAR,MATCH(A178,PT_DIFFERENTIATION_VTAR_ID,0))</f>
        <v>Тариф на техническую воду</v>
      </c>
      <c r="G178" s="1492" t="str">
        <f>INDEX(PT_DIFFERENTIATION_NTAR,MATCH(B178,PT_DIFFERENTIATION_NTAR_ID,0))</f>
        <v/>
      </c>
      <c r="H178" s="763"/>
      <c r="I178" s="948"/>
      <c r="J178" s="974"/>
      <c r="K178" s="366"/>
      <c r="L178" s="763" t="s">
        <v>312</v>
      </c>
      <c r="M178" s="201"/>
      <c r="N178" s="196"/>
      <c r="O178" s="69"/>
      <c r="P178" s="69"/>
      <c r="AH178" s="11">
        <v>0</v>
      </c>
    </row>
    <row r="179" spans="1:34" s="11" customFormat="1" ht="18.75" hidden="1" customHeight="1">
      <c r="A179" s="34"/>
      <c r="B179" s="34"/>
      <c r="C179" s="4" t="s">
        <v>1323</v>
      </c>
      <c r="D179" s="1516"/>
      <c r="E179" s="1249"/>
      <c r="F179" s="1390"/>
      <c r="G179" s="1492"/>
      <c r="H179" s="823"/>
      <c r="I179" s="52" t="s">
        <v>1322</v>
      </c>
      <c r="J179" s="111"/>
      <c r="K179" s="823"/>
      <c r="L179" s="108"/>
      <c r="M179" s="201"/>
      <c r="N179" s="196"/>
      <c r="O179" s="69"/>
      <c r="P179" s="69"/>
      <c r="AH179" s="11">
        <v>0</v>
      </c>
    </row>
    <row r="180" spans="1:34" s="11" customFormat="1" ht="0.75" hidden="1" customHeight="1">
      <c r="A180" s="34"/>
      <c r="B180" s="34"/>
      <c r="C180" s="4" t="s">
        <v>1330</v>
      </c>
      <c r="D180" s="1516"/>
      <c r="E180" s="1249"/>
      <c r="F180" s="1390"/>
      <c r="G180" s="227"/>
      <c r="H180" s="823"/>
      <c r="I180" s="52"/>
      <c r="J180" s="111"/>
      <c r="K180" s="823"/>
      <c r="L180" s="108"/>
      <c r="M180" s="201"/>
      <c r="N180" s="196"/>
      <c r="O180" s="69"/>
      <c r="P180" s="69"/>
      <c r="AH180" s="11">
        <v>0</v>
      </c>
    </row>
    <row r="181" spans="1:34" s="11" customFormat="1" ht="18.75" hidden="1" customHeight="1">
      <c r="A181" s="34" t="s">
        <v>241</v>
      </c>
      <c r="B181" s="34" t="s">
        <v>242</v>
      </c>
      <c r="C181" s="4"/>
      <c r="D181" s="1516"/>
      <c r="E181" s="1249"/>
      <c r="F181" s="1390" t="str">
        <f>INDEX(PT_DIFFERENTIATION_VTAR,MATCH(A181,PT_DIFFERENTIATION_VTAR_ID,0))</f>
        <v>Тариф на транспортировку воды</v>
      </c>
      <c r="G181" s="1492" t="str">
        <f>INDEX(PT_DIFFERENTIATION_NTAR,MATCH(B181,PT_DIFFERENTIATION_NTAR_ID,0))</f>
        <v/>
      </c>
      <c r="H181" s="763"/>
      <c r="I181" s="948"/>
      <c r="J181" s="974"/>
      <c r="K181" s="366"/>
      <c r="L181" s="763" t="s">
        <v>312</v>
      </c>
      <c r="M181" s="201"/>
      <c r="N181" s="196"/>
      <c r="O181" s="69"/>
      <c r="P181" s="69"/>
      <c r="AH181" s="11">
        <v>0</v>
      </c>
    </row>
    <row r="182" spans="1:34" s="11" customFormat="1" ht="18.75" hidden="1" customHeight="1">
      <c r="A182" s="34"/>
      <c r="B182" s="34"/>
      <c r="C182" s="4" t="s">
        <v>1323</v>
      </c>
      <c r="D182" s="1516"/>
      <c r="E182" s="1249"/>
      <c r="F182" s="1390"/>
      <c r="G182" s="1492"/>
      <c r="H182" s="823"/>
      <c r="I182" s="52" t="s">
        <v>1322</v>
      </c>
      <c r="J182" s="111"/>
      <c r="K182" s="823"/>
      <c r="L182" s="108"/>
      <c r="M182" s="201"/>
      <c r="N182" s="196"/>
      <c r="O182" s="69"/>
      <c r="P182" s="69"/>
      <c r="AH182" s="11">
        <v>0</v>
      </c>
    </row>
    <row r="183" spans="1:34" s="11" customFormat="1" ht="0.75" hidden="1" customHeight="1">
      <c r="A183" s="34"/>
      <c r="B183" s="34"/>
      <c r="C183" s="4" t="s">
        <v>1330</v>
      </c>
      <c r="D183" s="1516"/>
      <c r="E183" s="1249"/>
      <c r="F183" s="1390"/>
      <c r="G183" s="227"/>
      <c r="H183" s="823"/>
      <c r="I183" s="52"/>
      <c r="J183" s="111"/>
      <c r="K183" s="823"/>
      <c r="L183" s="108"/>
      <c r="M183" s="201"/>
      <c r="N183" s="196"/>
      <c r="O183" s="69"/>
      <c r="P183" s="69"/>
      <c r="AH183" s="11">
        <v>0</v>
      </c>
    </row>
    <row r="184" spans="1:34" s="11" customFormat="1" ht="18.75" hidden="1" customHeight="1">
      <c r="A184" s="34" t="s">
        <v>246</v>
      </c>
      <c r="B184" s="34" t="s">
        <v>247</v>
      </c>
      <c r="C184" s="4"/>
      <c r="D184" s="1516"/>
      <c r="E184" s="1249"/>
      <c r="F184" s="1390" t="str">
        <f>INDEX(PT_DIFFERENTIATION_VTAR,MATCH(A184,PT_DIFFERENTIATION_VTAR_ID,0))</f>
        <v>Тариф на подвоз воды</v>
      </c>
      <c r="G184" s="1492" t="str">
        <f>INDEX(PT_DIFFERENTIATION_NTAR,MATCH(B184,PT_DIFFERENTIATION_NTAR_ID,0))</f>
        <v/>
      </c>
      <c r="H184" s="763"/>
      <c r="I184" s="948"/>
      <c r="J184" s="974"/>
      <c r="K184" s="366"/>
      <c r="L184" s="763" t="s">
        <v>312</v>
      </c>
      <c r="M184" s="201"/>
      <c r="N184" s="196"/>
      <c r="O184" s="69"/>
      <c r="P184" s="69"/>
      <c r="AH184" s="11">
        <v>0</v>
      </c>
    </row>
    <row r="185" spans="1:34" s="11" customFormat="1" ht="18.75" hidden="1" customHeight="1">
      <c r="A185" s="34"/>
      <c r="B185" s="34"/>
      <c r="C185" s="4" t="s">
        <v>1323</v>
      </c>
      <c r="D185" s="1516"/>
      <c r="E185" s="1249"/>
      <c r="F185" s="1390"/>
      <c r="G185" s="1492"/>
      <c r="H185" s="823"/>
      <c r="I185" s="52" t="s">
        <v>1322</v>
      </c>
      <c r="J185" s="111"/>
      <c r="K185" s="823"/>
      <c r="L185" s="108"/>
      <c r="M185" s="201"/>
      <c r="N185" s="196"/>
      <c r="O185" s="69"/>
      <c r="P185" s="69"/>
      <c r="AH185" s="11">
        <v>0</v>
      </c>
    </row>
    <row r="186" spans="1:34" s="11" customFormat="1" ht="0.75" hidden="1" customHeight="1">
      <c r="A186" s="34"/>
      <c r="B186" s="34"/>
      <c r="C186" s="4" t="s">
        <v>1330</v>
      </c>
      <c r="D186" s="1516"/>
      <c r="E186" s="1249"/>
      <c r="F186" s="1390"/>
      <c r="G186" s="227"/>
      <c r="H186" s="823"/>
      <c r="I186" s="52"/>
      <c r="J186" s="111"/>
      <c r="K186" s="823"/>
      <c r="L186" s="108"/>
      <c r="M186" s="201"/>
      <c r="N186" s="196"/>
      <c r="O186" s="69"/>
      <c r="P186" s="69"/>
      <c r="AH186" s="11">
        <v>0</v>
      </c>
    </row>
    <row r="187" spans="1:34" s="11" customFormat="1" ht="18.75" hidden="1" customHeight="1">
      <c r="A187" s="34" t="s">
        <v>251</v>
      </c>
      <c r="B187" s="34" t="s">
        <v>252</v>
      </c>
      <c r="C187" s="4"/>
      <c r="D187" s="1516"/>
      <c r="E187" s="1249"/>
      <c r="F187" s="139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92" t="str">
        <f>INDEX(PT_DIFFERENTIATION_NTAR,MATCH(B187,PT_DIFFERENTIATION_NTAR_ID,0))</f>
        <v/>
      </c>
      <c r="H187" s="763"/>
      <c r="I187" s="948"/>
      <c r="J187" s="974"/>
      <c r="K187" s="366"/>
      <c r="L187" s="763" t="s">
        <v>312</v>
      </c>
      <c r="M187" s="201"/>
      <c r="N187" s="196"/>
      <c r="O187" s="69"/>
      <c r="P187" s="69"/>
      <c r="AH187" s="11">
        <v>0</v>
      </c>
    </row>
    <row r="188" spans="1:34" s="11" customFormat="1" ht="18.75" hidden="1" customHeight="1">
      <c r="A188" s="34"/>
      <c r="B188" s="34"/>
      <c r="C188" s="4" t="s">
        <v>1323</v>
      </c>
      <c r="D188" s="1516"/>
      <c r="E188" s="1249"/>
      <c r="F188" s="1390"/>
      <c r="G188" s="1492"/>
      <c r="H188" s="823"/>
      <c r="I188" s="52" t="s">
        <v>1322</v>
      </c>
      <c r="J188" s="111"/>
      <c r="K188" s="823"/>
      <c r="L188" s="108"/>
      <c r="M188" s="201"/>
      <c r="N188" s="196"/>
      <c r="O188" s="69"/>
      <c r="P188" s="69"/>
      <c r="AH188" s="11">
        <v>0</v>
      </c>
    </row>
    <row r="189" spans="1:34" s="11" customFormat="1" ht="0.75" hidden="1" customHeight="1">
      <c r="A189" s="34"/>
      <c r="B189" s="34"/>
      <c r="C189" s="4" t="s">
        <v>1330</v>
      </c>
      <c r="D189" s="1516"/>
      <c r="E189" s="1249"/>
      <c r="F189" s="1390"/>
      <c r="G189" s="227"/>
      <c r="H189" s="823"/>
      <c r="I189" s="52"/>
      <c r="J189" s="111"/>
      <c r="K189" s="823"/>
      <c r="L189" s="108"/>
      <c r="M189" s="201"/>
      <c r="N189" s="196"/>
      <c r="O189" s="69"/>
      <c r="P189" s="69"/>
      <c r="AH189" s="11">
        <v>0</v>
      </c>
    </row>
    <row r="190" spans="1:34" s="11" customFormat="1" ht="18.75" hidden="1" customHeight="1">
      <c r="A190" s="34" t="s">
        <v>256</v>
      </c>
      <c r="B190" s="34" t="s">
        <v>257</v>
      </c>
      <c r="C190" s="4"/>
      <c r="D190" s="1516"/>
      <c r="E190" s="1249"/>
      <c r="F190" s="1390" t="str">
        <f>INDEX(PT_DIFFERENTIATION_VTAR,MATCH(A190,PT_DIFFERENTIATION_VTAR_ID,0))</f>
        <v>Тариф на горячую воду (горячее водоснабжение)</v>
      </c>
      <c r="G190" s="1492" t="str">
        <f>INDEX(PT_DIFFERENTIATION_NTAR,MATCH(B190,PT_DIFFERENTIATION_NTAR_ID,0))</f>
        <v/>
      </c>
      <c r="H190" s="763"/>
      <c r="I190" s="948"/>
      <c r="J190" s="974"/>
      <c r="K190" s="366"/>
      <c r="L190" s="763" t="s">
        <v>312</v>
      </c>
      <c r="M190" s="201"/>
      <c r="N190" s="196"/>
      <c r="O190" s="69"/>
      <c r="P190" s="69"/>
      <c r="AH190" s="11">
        <v>0</v>
      </c>
    </row>
    <row r="191" spans="1:34" s="11" customFormat="1" ht="18.75" hidden="1" customHeight="1">
      <c r="A191" s="34"/>
      <c r="B191" s="34"/>
      <c r="C191" s="4" t="s">
        <v>1323</v>
      </c>
      <c r="D191" s="1516"/>
      <c r="E191" s="1249"/>
      <c r="F191" s="1390"/>
      <c r="G191" s="1492"/>
      <c r="H191" s="823"/>
      <c r="I191" s="52" t="s">
        <v>1322</v>
      </c>
      <c r="J191" s="111"/>
      <c r="K191" s="823"/>
      <c r="L191" s="108"/>
      <c r="M191" s="201"/>
      <c r="N191" s="196"/>
      <c r="O191" s="69"/>
      <c r="P191" s="69"/>
      <c r="AH191" s="11">
        <v>0</v>
      </c>
    </row>
    <row r="192" spans="1:34" s="11" customFormat="1" ht="0.75" hidden="1" customHeight="1">
      <c r="A192" s="34"/>
      <c r="B192" s="34"/>
      <c r="C192" s="4" t="s">
        <v>1330</v>
      </c>
      <c r="D192" s="1516"/>
      <c r="E192" s="1249"/>
      <c r="F192" s="1390"/>
      <c r="G192" s="227"/>
      <c r="H192" s="823"/>
      <c r="I192" s="52"/>
      <c r="J192" s="111"/>
      <c r="K192" s="823"/>
      <c r="L192" s="108"/>
      <c r="M192" s="201"/>
      <c r="N192" s="196"/>
      <c r="O192" s="69"/>
      <c r="P192" s="69"/>
      <c r="AH192" s="11">
        <v>0</v>
      </c>
    </row>
    <row r="193" spans="1:34" s="11" customFormat="1" ht="18.75" hidden="1" customHeight="1">
      <c r="A193" s="34" t="s">
        <v>261</v>
      </c>
      <c r="B193" s="34" t="s">
        <v>262</v>
      </c>
      <c r="C193" s="4"/>
      <c r="D193" s="1516"/>
      <c r="E193" s="1249"/>
      <c r="F193" s="1390" t="str">
        <f>INDEX(PT_DIFFERENTIATION_VTAR,MATCH(A193,PT_DIFFERENTIATION_VTAR_ID,0))</f>
        <v>Тариф на транспортировку горячей воды</v>
      </c>
      <c r="G193" s="1492" t="str">
        <f>INDEX(PT_DIFFERENTIATION_NTAR,MATCH(B193,PT_DIFFERENTIATION_NTAR_ID,0))</f>
        <v/>
      </c>
      <c r="H193" s="763"/>
      <c r="I193" s="948"/>
      <c r="J193" s="974"/>
      <c r="K193" s="366"/>
      <c r="L193" s="763" t="s">
        <v>312</v>
      </c>
      <c r="M193" s="201"/>
      <c r="N193" s="196"/>
      <c r="O193" s="69"/>
      <c r="P193" s="69"/>
      <c r="AH193" s="11">
        <v>0</v>
      </c>
    </row>
    <row r="194" spans="1:34" s="11" customFormat="1" ht="18.75" hidden="1" customHeight="1">
      <c r="A194" s="34"/>
      <c r="B194" s="34"/>
      <c r="C194" s="4" t="s">
        <v>1323</v>
      </c>
      <c r="D194" s="1516"/>
      <c r="E194" s="1249"/>
      <c r="F194" s="1390"/>
      <c r="G194" s="1492"/>
      <c r="H194" s="823"/>
      <c r="I194" s="52" t="s">
        <v>1322</v>
      </c>
      <c r="J194" s="111"/>
      <c r="K194" s="823"/>
      <c r="L194" s="108"/>
      <c r="M194" s="201"/>
      <c r="N194" s="196"/>
      <c r="O194" s="69"/>
      <c r="P194" s="69"/>
      <c r="AH194" s="11">
        <v>0</v>
      </c>
    </row>
    <row r="195" spans="1:34" s="11" customFormat="1" ht="0.75" hidden="1" customHeight="1">
      <c r="A195" s="34"/>
      <c r="B195" s="34"/>
      <c r="C195" s="4" t="s">
        <v>1330</v>
      </c>
      <c r="D195" s="1516"/>
      <c r="E195" s="1249"/>
      <c r="F195" s="1390"/>
      <c r="G195" s="227"/>
      <c r="H195" s="823"/>
      <c r="I195" s="52"/>
      <c r="J195" s="111"/>
      <c r="K195" s="823"/>
      <c r="L195" s="108"/>
      <c r="M195" s="201"/>
      <c r="N195" s="196"/>
      <c r="O195" s="69"/>
      <c r="P195" s="69"/>
      <c r="AH195" s="11">
        <v>0</v>
      </c>
    </row>
    <row r="196" spans="1:34" s="11" customFormat="1" ht="18.75" hidden="1" customHeight="1">
      <c r="A196" s="34" t="s">
        <v>266</v>
      </c>
      <c r="B196" s="34" t="s">
        <v>267</v>
      </c>
      <c r="C196" s="4"/>
      <c r="D196" s="1516"/>
      <c r="E196" s="1249"/>
      <c r="F196" s="1390"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92" t="str">
        <f>INDEX(PT_DIFFERENTIATION_NTAR,MATCH(B196,PT_DIFFERENTIATION_NTAR_ID,0))</f>
        <v/>
      </c>
      <c r="H196" s="763"/>
      <c r="I196" s="948"/>
      <c r="J196" s="974"/>
      <c r="K196" s="366"/>
      <c r="L196" s="763" t="s">
        <v>312</v>
      </c>
      <c r="M196" s="201"/>
      <c r="N196" s="196"/>
      <c r="O196" s="69"/>
      <c r="P196" s="69"/>
      <c r="AH196" s="11">
        <v>0</v>
      </c>
    </row>
    <row r="197" spans="1:34" s="11" customFormat="1" ht="18.75" hidden="1" customHeight="1">
      <c r="A197" s="34"/>
      <c r="B197" s="34"/>
      <c r="C197" s="4" t="s">
        <v>1323</v>
      </c>
      <c r="D197" s="1516"/>
      <c r="E197" s="1249"/>
      <c r="F197" s="1390"/>
      <c r="G197" s="1492"/>
      <c r="H197" s="823"/>
      <c r="I197" s="52" t="s">
        <v>1322</v>
      </c>
      <c r="J197" s="111"/>
      <c r="K197" s="823"/>
      <c r="L197" s="108"/>
      <c r="M197" s="201"/>
      <c r="N197" s="196"/>
      <c r="O197" s="69"/>
      <c r="P197" s="69"/>
      <c r="AH197" s="11">
        <v>0</v>
      </c>
    </row>
    <row r="198" spans="1:34" s="11" customFormat="1" ht="0.75" hidden="1" customHeight="1">
      <c r="A198" s="34"/>
      <c r="B198" s="34"/>
      <c r="C198" s="4" t="s">
        <v>1330</v>
      </c>
      <c r="D198" s="1516"/>
      <c r="E198" s="1249"/>
      <c r="F198" s="1390"/>
      <c r="G198" s="227"/>
      <c r="H198" s="823"/>
      <c r="I198" s="52"/>
      <c r="J198" s="111"/>
      <c r="K198" s="823"/>
      <c r="L198" s="108"/>
      <c r="M198" s="201"/>
      <c r="N198" s="196"/>
      <c r="O198" s="69"/>
      <c r="P198" s="69"/>
      <c r="AH198" s="11">
        <v>0</v>
      </c>
    </row>
    <row r="199" spans="1:34" s="11" customFormat="1" ht="18.75" hidden="1" customHeight="1">
      <c r="A199" s="34" t="s">
        <v>271</v>
      </c>
      <c r="B199" s="34" t="s">
        <v>272</v>
      </c>
      <c r="C199" s="4"/>
      <c r="D199" s="1516"/>
      <c r="E199" s="1249"/>
      <c r="F199" s="1390" t="str">
        <f>INDEX(PT_DIFFERENTIATION_VTAR,MATCH(A199,PT_DIFFERENTIATION_VTAR_ID,0))</f>
        <v>Тариф на водоотведение</v>
      </c>
      <c r="G199" s="1492" t="str">
        <f>INDEX(PT_DIFFERENTIATION_NTAR,MATCH(B199,PT_DIFFERENTIATION_NTAR_ID,0))</f>
        <v/>
      </c>
      <c r="H199" s="763"/>
      <c r="I199" s="948"/>
      <c r="J199" s="974"/>
      <c r="K199" s="366"/>
      <c r="L199" s="763" t="s">
        <v>312</v>
      </c>
      <c r="M199" s="201"/>
      <c r="N199" s="196"/>
      <c r="O199" s="69"/>
      <c r="P199" s="69"/>
      <c r="AH199" s="11">
        <v>0</v>
      </c>
    </row>
    <row r="200" spans="1:34" s="11" customFormat="1" ht="18.75" hidden="1" customHeight="1">
      <c r="A200" s="34"/>
      <c r="B200" s="34"/>
      <c r="C200" s="4" t="s">
        <v>1323</v>
      </c>
      <c r="D200" s="1516"/>
      <c r="E200" s="1249"/>
      <c r="F200" s="1390"/>
      <c r="G200" s="1492"/>
      <c r="H200" s="823"/>
      <c r="I200" s="52" t="s">
        <v>1322</v>
      </c>
      <c r="J200" s="111"/>
      <c r="K200" s="823"/>
      <c r="L200" s="108"/>
      <c r="M200" s="201"/>
      <c r="N200" s="196"/>
      <c r="O200" s="69"/>
      <c r="P200" s="69"/>
      <c r="AH200" s="11">
        <v>0</v>
      </c>
    </row>
    <row r="201" spans="1:34" s="11" customFormat="1" ht="0.75" hidden="1" customHeight="1">
      <c r="A201" s="34"/>
      <c r="B201" s="34"/>
      <c r="C201" s="4" t="s">
        <v>1330</v>
      </c>
      <c r="D201" s="1516"/>
      <c r="E201" s="1249"/>
      <c r="F201" s="1390"/>
      <c r="G201" s="227"/>
      <c r="H201" s="823"/>
      <c r="I201" s="52"/>
      <c r="J201" s="111"/>
      <c r="K201" s="823"/>
      <c r="L201" s="108"/>
      <c r="M201" s="201"/>
      <c r="N201" s="196"/>
      <c r="O201" s="69"/>
      <c r="P201" s="69"/>
      <c r="AH201" s="11">
        <v>0</v>
      </c>
    </row>
    <row r="202" spans="1:34" s="11" customFormat="1" ht="18.75" hidden="1" customHeight="1">
      <c r="A202" s="34" t="s">
        <v>276</v>
      </c>
      <c r="B202" s="34" t="s">
        <v>277</v>
      </c>
      <c r="C202" s="4"/>
      <c r="D202" s="1516"/>
      <c r="E202" s="1249"/>
      <c r="F202" s="1390" t="str">
        <f>INDEX(PT_DIFFERENTIATION_VTAR,MATCH(A202,PT_DIFFERENTIATION_VTAR_ID,0))</f>
        <v>Тариф на транспортировку сточных вод</v>
      </c>
      <c r="G202" s="1492" t="str">
        <f>INDEX(PT_DIFFERENTIATION_NTAR,MATCH(B202,PT_DIFFERENTIATION_NTAR_ID,0))</f>
        <v/>
      </c>
      <c r="H202" s="763"/>
      <c r="I202" s="948"/>
      <c r="J202" s="974"/>
      <c r="K202" s="366"/>
      <c r="L202" s="763" t="s">
        <v>312</v>
      </c>
      <c r="M202" s="201"/>
      <c r="N202" s="196"/>
      <c r="O202" s="69"/>
      <c r="P202" s="69"/>
      <c r="AH202" s="11">
        <v>0</v>
      </c>
    </row>
    <row r="203" spans="1:34" s="11" customFormat="1" ht="18.75" hidden="1" customHeight="1">
      <c r="A203" s="34"/>
      <c r="B203" s="34"/>
      <c r="C203" s="4" t="s">
        <v>1323</v>
      </c>
      <c r="D203" s="1516"/>
      <c r="E203" s="1249"/>
      <c r="F203" s="1390"/>
      <c r="G203" s="1492"/>
      <c r="H203" s="823"/>
      <c r="I203" s="52" t="s">
        <v>1322</v>
      </c>
      <c r="J203" s="111"/>
      <c r="K203" s="823"/>
      <c r="L203" s="108"/>
      <c r="M203" s="201"/>
      <c r="N203" s="196"/>
      <c r="O203" s="69"/>
      <c r="P203" s="69"/>
      <c r="AH203" s="11">
        <v>0</v>
      </c>
    </row>
    <row r="204" spans="1:34" s="11" customFormat="1" ht="0.75" hidden="1" customHeight="1">
      <c r="A204" s="34"/>
      <c r="B204" s="34"/>
      <c r="C204" s="4" t="s">
        <v>1330</v>
      </c>
      <c r="D204" s="1516"/>
      <c r="E204" s="1249"/>
      <c r="F204" s="1390"/>
      <c r="G204" s="227"/>
      <c r="H204" s="823"/>
      <c r="I204" s="52"/>
      <c r="J204" s="111"/>
      <c r="K204" s="823"/>
      <c r="L204" s="108"/>
      <c r="M204" s="201"/>
      <c r="N204" s="196"/>
      <c r="O204" s="69"/>
      <c r="P204" s="69"/>
      <c r="AH204" s="11">
        <v>0</v>
      </c>
    </row>
    <row r="205" spans="1:34" s="11" customFormat="1" ht="18.75" hidden="1" customHeight="1">
      <c r="A205" s="34" t="s">
        <v>281</v>
      </c>
      <c r="B205" s="34" t="s">
        <v>282</v>
      </c>
      <c r="C205" s="4"/>
      <c r="D205" s="1516"/>
      <c r="E205" s="1249"/>
      <c r="F205" s="1390" t="str">
        <f>INDEX(PT_DIFFERENTIATION_VTAR,MATCH(A205,PT_DIFFERENTIATION_VTAR_ID,0))</f>
        <v>Тариф на подключение (технологическое присоединение) к централизованной системе водоотведения</v>
      </c>
      <c r="G205" s="1492" t="str">
        <f>INDEX(PT_DIFFERENTIATION_NTAR,MATCH(B205,PT_DIFFERENTIATION_NTAR_ID,0))</f>
        <v/>
      </c>
      <c r="H205" s="763"/>
      <c r="I205" s="948"/>
      <c r="J205" s="974"/>
      <c r="K205" s="366"/>
      <c r="L205" s="763" t="s">
        <v>312</v>
      </c>
      <c r="M205" s="201"/>
      <c r="N205" s="196"/>
      <c r="O205" s="69"/>
      <c r="P205" s="69"/>
      <c r="AH205" s="11">
        <v>0</v>
      </c>
    </row>
    <row r="206" spans="1:34" s="11" customFormat="1" ht="18.75" hidden="1" customHeight="1">
      <c r="A206" s="34"/>
      <c r="B206" s="34"/>
      <c r="C206" s="4" t="s">
        <v>1323</v>
      </c>
      <c r="D206" s="1516"/>
      <c r="E206" s="1249"/>
      <c r="F206" s="1390"/>
      <c r="G206" s="1492"/>
      <c r="H206" s="823"/>
      <c r="I206" s="52" t="s">
        <v>1322</v>
      </c>
      <c r="J206" s="111"/>
      <c r="K206" s="823"/>
      <c r="L206" s="108"/>
      <c r="M206" s="201"/>
      <c r="N206" s="196"/>
      <c r="O206" s="69"/>
      <c r="P206" s="69"/>
      <c r="AH206" s="11">
        <v>0</v>
      </c>
    </row>
    <row r="207" spans="1:34" s="11" customFormat="1" ht="1.1499999999999999" customHeight="1">
      <c r="A207" s="34"/>
      <c r="B207" s="34"/>
      <c r="C207" s="4" t="s">
        <v>1330</v>
      </c>
      <c r="D207" s="1516"/>
      <c r="E207" s="1249"/>
      <c r="F207" s="1390"/>
      <c r="G207" s="227"/>
      <c r="H207" s="823"/>
      <c r="I207" s="52"/>
      <c r="J207" s="111"/>
      <c r="K207" s="823"/>
      <c r="L207" s="108"/>
      <c r="M207" s="201"/>
      <c r="N207" s="196"/>
      <c r="O207" s="69"/>
      <c r="P207" s="69"/>
      <c r="AH207" s="11">
        <v>1</v>
      </c>
    </row>
    <row r="208" spans="1:34" ht="27.4" customHeight="1">
      <c r="A208" s="34"/>
      <c r="B208" s="34"/>
      <c r="D208" s="28"/>
      <c r="E208" s="64" t="s">
        <v>111</v>
      </c>
      <c r="F208" s="15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515"/>
      <c r="H208" s="1515"/>
      <c r="I208" s="1515"/>
      <c r="J208" s="1515"/>
      <c r="K208" s="1515"/>
      <c r="L208" s="1515"/>
      <c r="M208" s="114"/>
      <c r="N208" s="196"/>
      <c r="AH208" s="11">
        <v>26</v>
      </c>
    </row>
    <row r="209" spans="1:34" s="11" customFormat="1" ht="60.75" hidden="1" customHeight="1">
      <c r="A209" s="34" t="s">
        <v>163</v>
      </c>
      <c r="B209" s="34" t="s">
        <v>164</v>
      </c>
      <c r="C209" s="4"/>
      <c r="D209" s="1516"/>
      <c r="E209" s="1249"/>
      <c r="F209" s="139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92" t="str">
        <f>INDEX(PT_DIFFERENTIATION_NTAR,MATCH(B209,PT_DIFFERENTIATION_NTAR_ID,0))</f>
        <v/>
      </c>
      <c r="H209" s="763"/>
      <c r="I209" s="948"/>
      <c r="J209" s="974"/>
      <c r="K209" s="366"/>
      <c r="L209" s="763" t="s">
        <v>312</v>
      </c>
      <c r="M209"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1323</v>
      </c>
      <c r="D210" s="1516"/>
      <c r="E210" s="1249"/>
      <c r="F210" s="1390"/>
      <c r="G210" s="1492"/>
      <c r="H210" s="823"/>
      <c r="I210" s="52" t="s">
        <v>1322</v>
      </c>
      <c r="J210" s="111"/>
      <c r="K210" s="823"/>
      <c r="L210" s="108"/>
      <c r="M210" s="1210"/>
      <c r="N210" s="196"/>
      <c r="O210" s="69"/>
      <c r="P210" s="69"/>
      <c r="AH210" s="11">
        <v>0</v>
      </c>
    </row>
    <row r="211" spans="1:34" s="11" customFormat="1" ht="0.75" hidden="1" customHeight="1">
      <c r="A211" s="34"/>
      <c r="B211" s="34"/>
      <c r="C211" s="4" t="s">
        <v>1330</v>
      </c>
      <c r="D211" s="1516"/>
      <c r="E211" s="1249"/>
      <c r="F211" s="1390"/>
      <c r="G211" s="227"/>
      <c r="H211" s="823"/>
      <c r="I211" s="52"/>
      <c r="J211" s="111"/>
      <c r="K211" s="823"/>
      <c r="L211" s="108"/>
      <c r="M211" s="1210"/>
      <c r="N211" s="196"/>
      <c r="O211" s="69"/>
      <c r="P211" s="69"/>
      <c r="AH211" s="11">
        <v>0</v>
      </c>
    </row>
    <row r="212" spans="1:34" s="11" customFormat="1" ht="45" hidden="1" customHeight="1">
      <c r="A212" s="34" t="s">
        <v>168</v>
      </c>
      <c r="B212" s="34" t="s">
        <v>169</v>
      </c>
      <c r="C212" s="4"/>
      <c r="D212" s="1516"/>
      <c r="E212" s="1249"/>
      <c r="F212" s="1390" t="str">
        <f>INDEX(PT_DIFFERENTIATION_VTAR,MATCH(A212,PT_DIFFERENTIATION_VTAR_ID,0))</f>
        <v/>
      </c>
      <c r="G212" s="1492" t="str">
        <f>INDEX(PT_DIFFERENTIATION_NTAR,MATCH(B212,PT_DIFFERENTIATION_NTAR_ID,0))</f>
        <v/>
      </c>
      <c r="H212" s="763"/>
      <c r="I212" s="948"/>
      <c r="J212" s="974"/>
      <c r="K212" s="366"/>
      <c r="L212" s="763" t="s">
        <v>312</v>
      </c>
      <c r="M212" s="1211"/>
      <c r="N212" s="196"/>
      <c r="O212" s="69"/>
      <c r="P212" s="69"/>
      <c r="AH212" s="11">
        <v>0</v>
      </c>
    </row>
    <row r="213" spans="1:34" s="11" customFormat="1" ht="18.75" hidden="1" customHeight="1">
      <c r="A213" s="34"/>
      <c r="B213" s="34"/>
      <c r="C213" s="4" t="s">
        <v>1323</v>
      </c>
      <c r="D213" s="1516"/>
      <c r="E213" s="1249"/>
      <c r="F213" s="1390"/>
      <c r="G213" s="1492"/>
      <c r="H213" s="823"/>
      <c r="I213" s="52" t="s">
        <v>1322</v>
      </c>
      <c r="J213" s="111"/>
      <c r="K213" s="823"/>
      <c r="L213" s="108"/>
      <c r="M213" s="1003"/>
      <c r="N213" s="196"/>
      <c r="O213" s="69"/>
      <c r="P213" s="69"/>
      <c r="AH213" s="11">
        <v>0</v>
      </c>
    </row>
    <row r="214" spans="1:34" s="11" customFormat="1" ht="0.75" hidden="1" customHeight="1">
      <c r="A214" s="34"/>
      <c r="B214" s="34"/>
      <c r="C214" s="4" t="s">
        <v>1330</v>
      </c>
      <c r="D214" s="1516"/>
      <c r="E214" s="1249"/>
      <c r="F214" s="1390"/>
      <c r="G214" s="227"/>
      <c r="H214" s="823"/>
      <c r="I214" s="52"/>
      <c r="J214" s="111"/>
      <c r="K214" s="823"/>
      <c r="L214" s="108"/>
      <c r="M214" s="201"/>
      <c r="N214" s="196"/>
      <c r="O214" s="69"/>
      <c r="P214" s="69"/>
      <c r="AH214" s="11">
        <v>0</v>
      </c>
    </row>
    <row r="215" spans="1:34" s="11" customFormat="1" ht="45" hidden="1" customHeight="1">
      <c r="A215" s="34" t="s">
        <v>175</v>
      </c>
      <c r="B215" s="34" t="s">
        <v>176</v>
      </c>
      <c r="C215" s="4"/>
      <c r="D215" s="1516"/>
      <c r="E215" s="1249"/>
      <c r="F215" s="139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92" t="str">
        <f>INDEX(PT_DIFFERENTIATION_NTAR,MATCH(B215,PT_DIFFERENTIATION_NTAR_ID,0))</f>
        <v/>
      </c>
      <c r="H215" s="763"/>
      <c r="I215" s="948"/>
      <c r="J215" s="974"/>
      <c r="K215" s="366"/>
      <c r="L215" s="763" t="s">
        <v>312</v>
      </c>
      <c r="M215" s="201"/>
      <c r="N215" s="196"/>
      <c r="O215" s="69"/>
      <c r="P215" s="69"/>
      <c r="AH215" s="11">
        <v>0</v>
      </c>
    </row>
    <row r="216" spans="1:34" s="11" customFormat="1" ht="18.75" hidden="1" customHeight="1">
      <c r="A216" s="34"/>
      <c r="B216" s="34"/>
      <c r="C216" s="4" t="s">
        <v>1323</v>
      </c>
      <c r="D216" s="1516"/>
      <c r="E216" s="1249"/>
      <c r="F216" s="1390"/>
      <c r="G216" s="1492"/>
      <c r="H216" s="823"/>
      <c r="I216" s="52" t="s">
        <v>1322</v>
      </c>
      <c r="J216" s="111"/>
      <c r="K216" s="823"/>
      <c r="L216" s="108"/>
      <c r="M216" s="201"/>
      <c r="N216" s="196"/>
      <c r="O216" s="69"/>
      <c r="P216" s="69"/>
      <c r="AH216" s="11">
        <v>0</v>
      </c>
    </row>
    <row r="217" spans="1:34" s="11" customFormat="1" ht="0.75" hidden="1" customHeight="1">
      <c r="A217" s="34"/>
      <c r="B217" s="34"/>
      <c r="C217" s="4" t="s">
        <v>1330</v>
      </c>
      <c r="D217" s="1516"/>
      <c r="E217" s="1249"/>
      <c r="F217" s="1390"/>
      <c r="G217" s="227"/>
      <c r="H217" s="823"/>
      <c r="I217" s="52"/>
      <c r="J217" s="111"/>
      <c r="K217" s="823"/>
      <c r="L217" s="108"/>
      <c r="M217" s="201"/>
      <c r="N217" s="196"/>
      <c r="O217" s="69"/>
      <c r="P217" s="69"/>
      <c r="AH217" s="11">
        <v>0</v>
      </c>
    </row>
    <row r="218" spans="1:34" s="11" customFormat="1" ht="45" hidden="1" customHeight="1">
      <c r="A218" s="34" t="s">
        <v>181</v>
      </c>
      <c r="B218" s="34" t="s">
        <v>182</v>
      </c>
      <c r="C218" s="4"/>
      <c r="D218" s="1516"/>
      <c r="E218" s="1249"/>
      <c r="F218" s="139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92" t="str">
        <f>INDEX(PT_DIFFERENTIATION_NTAR,MATCH(B218,PT_DIFFERENTIATION_NTAR_ID,0))</f>
        <v/>
      </c>
      <c r="H218" s="763"/>
      <c r="I218" s="948"/>
      <c r="J218" s="974"/>
      <c r="K218" s="366"/>
      <c r="L218" s="763" t="s">
        <v>312</v>
      </c>
      <c r="M218" s="201"/>
      <c r="N218" s="196"/>
      <c r="O218" s="69"/>
      <c r="P218" s="69"/>
      <c r="AH218" s="11">
        <v>0</v>
      </c>
    </row>
    <row r="219" spans="1:34" s="11" customFormat="1" ht="18.75" hidden="1" customHeight="1">
      <c r="A219" s="34"/>
      <c r="B219" s="34"/>
      <c r="C219" s="4" t="s">
        <v>1323</v>
      </c>
      <c r="D219" s="1516"/>
      <c r="E219" s="1249"/>
      <c r="F219" s="1390"/>
      <c r="G219" s="1492"/>
      <c r="H219" s="823"/>
      <c r="I219" s="52" t="s">
        <v>1322</v>
      </c>
      <c r="J219" s="111"/>
      <c r="K219" s="823"/>
      <c r="L219" s="108"/>
      <c r="M219" s="201"/>
      <c r="N219" s="196"/>
      <c r="O219" s="69"/>
      <c r="P219" s="69"/>
      <c r="AH219" s="11">
        <v>0</v>
      </c>
    </row>
    <row r="220" spans="1:34" s="11" customFormat="1" ht="0.75" hidden="1" customHeight="1">
      <c r="A220" s="34"/>
      <c r="B220" s="34"/>
      <c r="C220" s="4" t="s">
        <v>1330</v>
      </c>
      <c r="D220" s="1516"/>
      <c r="E220" s="1249"/>
      <c r="F220" s="1390"/>
      <c r="G220" s="227"/>
      <c r="H220" s="823"/>
      <c r="I220" s="52"/>
      <c r="J220" s="111"/>
      <c r="K220" s="823"/>
      <c r="L220" s="108"/>
      <c r="M220" s="201"/>
      <c r="N220" s="196"/>
      <c r="O220" s="69"/>
      <c r="P220" s="69"/>
      <c r="AH220" s="11">
        <v>0</v>
      </c>
    </row>
    <row r="221" spans="1:34" s="11" customFormat="1" ht="18.75" hidden="1" customHeight="1">
      <c r="A221" s="34" t="s">
        <v>187</v>
      </c>
      <c r="B221" s="34" t="s">
        <v>188</v>
      </c>
      <c r="C221" s="4"/>
      <c r="D221" s="1516"/>
      <c r="E221" s="1249"/>
      <c r="F221" s="1390" t="str">
        <f>INDEX(PT_DIFFERENTIATION_VTAR,MATCH(A221,PT_DIFFERENTIATION_VTAR_ID,0))</f>
        <v>Тарифы на услуги по передаче тепловой энергии</v>
      </c>
      <c r="G221" s="1492" t="str">
        <f>INDEX(PT_DIFFERENTIATION_NTAR,MATCH(B221,PT_DIFFERENTIATION_NTAR_ID,0))</f>
        <v/>
      </c>
      <c r="H221" s="763"/>
      <c r="I221" s="948"/>
      <c r="J221" s="974"/>
      <c r="K221" s="366"/>
      <c r="L221" s="763" t="s">
        <v>312</v>
      </c>
      <c r="M221" s="201"/>
      <c r="N221" s="196"/>
      <c r="O221" s="69"/>
      <c r="P221" s="69"/>
      <c r="AH221" s="11">
        <v>0</v>
      </c>
    </row>
    <row r="222" spans="1:34" s="11" customFormat="1" ht="18.75" hidden="1" customHeight="1">
      <c r="A222" s="34"/>
      <c r="B222" s="34"/>
      <c r="C222" s="4" t="s">
        <v>1323</v>
      </c>
      <c r="D222" s="1516"/>
      <c r="E222" s="1249"/>
      <c r="F222" s="1390"/>
      <c r="G222" s="1492"/>
      <c r="H222" s="823"/>
      <c r="I222" s="52" t="s">
        <v>1322</v>
      </c>
      <c r="J222" s="111"/>
      <c r="K222" s="823"/>
      <c r="L222" s="108"/>
      <c r="M222" s="201"/>
      <c r="N222" s="196"/>
      <c r="O222" s="69"/>
      <c r="P222" s="69"/>
      <c r="AH222" s="11">
        <v>0</v>
      </c>
    </row>
    <row r="223" spans="1:34" s="11" customFormat="1" ht="0.75" hidden="1" customHeight="1">
      <c r="A223" s="34"/>
      <c r="B223" s="34"/>
      <c r="C223" s="4" t="s">
        <v>1330</v>
      </c>
      <c r="D223" s="1516"/>
      <c r="E223" s="1249"/>
      <c r="F223" s="1390"/>
      <c r="G223" s="227"/>
      <c r="H223" s="823"/>
      <c r="I223" s="52"/>
      <c r="J223" s="111"/>
      <c r="K223" s="823"/>
      <c r="L223" s="108"/>
      <c r="M223" s="201"/>
      <c r="N223" s="196"/>
      <c r="O223" s="69"/>
      <c r="P223" s="69"/>
      <c r="AH223" s="11">
        <v>0</v>
      </c>
    </row>
    <row r="224" spans="1:34" s="11" customFormat="1" ht="18.75" hidden="1" customHeight="1">
      <c r="A224" s="34" t="s">
        <v>193</v>
      </c>
      <c r="B224" s="34" t="s">
        <v>194</v>
      </c>
      <c r="C224" s="4"/>
      <c r="D224" s="1516"/>
      <c r="E224" s="1249"/>
      <c r="F224" s="1390" t="str">
        <f>INDEX(PT_DIFFERENTIATION_VTAR,MATCH(A224,PT_DIFFERENTIATION_VTAR_ID,0))</f>
        <v>Тарифы на услуги по передаче теплоносителя</v>
      </c>
      <c r="G224" s="1492" t="str">
        <f>INDEX(PT_DIFFERENTIATION_NTAR,MATCH(B224,PT_DIFFERENTIATION_NTAR_ID,0))</f>
        <v/>
      </c>
      <c r="H224" s="763"/>
      <c r="I224" s="948"/>
      <c r="J224" s="974"/>
      <c r="K224" s="366"/>
      <c r="L224" s="763" t="s">
        <v>312</v>
      </c>
      <c r="M224" s="201"/>
      <c r="N224" s="196"/>
      <c r="O224" s="69"/>
      <c r="P224" s="69"/>
      <c r="AH224" s="11">
        <v>0</v>
      </c>
    </row>
    <row r="225" spans="1:34" s="11" customFormat="1" ht="18.75" hidden="1" customHeight="1">
      <c r="A225" s="34"/>
      <c r="B225" s="34"/>
      <c r="C225" s="4" t="s">
        <v>1323</v>
      </c>
      <c r="D225" s="1516"/>
      <c r="E225" s="1249"/>
      <c r="F225" s="1390"/>
      <c r="G225" s="1492"/>
      <c r="H225" s="823"/>
      <c r="I225" s="52" t="s">
        <v>1322</v>
      </c>
      <c r="J225" s="111"/>
      <c r="K225" s="823"/>
      <c r="L225" s="108"/>
      <c r="M225" s="201"/>
      <c r="N225" s="196"/>
      <c r="O225" s="69"/>
      <c r="P225" s="69"/>
      <c r="AH225" s="11">
        <v>0</v>
      </c>
    </row>
    <row r="226" spans="1:34" s="11" customFormat="1" ht="0.75" hidden="1" customHeight="1">
      <c r="A226" s="34"/>
      <c r="B226" s="34"/>
      <c r="C226" s="4" t="s">
        <v>1330</v>
      </c>
      <c r="D226" s="1516"/>
      <c r="E226" s="1249"/>
      <c r="F226" s="1390"/>
      <c r="G226" s="227"/>
      <c r="H226" s="823"/>
      <c r="I226" s="52"/>
      <c r="J226" s="111"/>
      <c r="K226" s="823"/>
      <c r="L226" s="108"/>
      <c r="M226" s="201"/>
      <c r="N226" s="196"/>
      <c r="O226" s="69"/>
      <c r="P226" s="69"/>
      <c r="AH226" s="11">
        <v>0</v>
      </c>
    </row>
    <row r="227" spans="1:34" s="11" customFormat="1" ht="18.75" hidden="1" customHeight="1">
      <c r="A227" s="34" t="s">
        <v>199</v>
      </c>
      <c r="B227" s="34" t="s">
        <v>200</v>
      </c>
      <c r="C227" s="4"/>
      <c r="D227" s="1516"/>
      <c r="E227" s="1249"/>
      <c r="F227" s="139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92" t="str">
        <f>INDEX(PT_DIFFERENTIATION_NTAR,MATCH(B227,PT_DIFFERENTIATION_NTAR_ID,0))</f>
        <v/>
      </c>
      <c r="H227" s="763"/>
      <c r="I227" s="948"/>
      <c r="J227" s="974"/>
      <c r="K227" s="366"/>
      <c r="L227" s="763" t="s">
        <v>312</v>
      </c>
      <c r="M227" s="201"/>
      <c r="N227" s="196"/>
      <c r="O227" s="69"/>
      <c r="P227" s="69"/>
      <c r="AH227" s="11">
        <v>0</v>
      </c>
    </row>
    <row r="228" spans="1:34" s="11" customFormat="1" ht="18.75" hidden="1" customHeight="1">
      <c r="A228" s="34"/>
      <c r="B228" s="34"/>
      <c r="C228" s="4" t="s">
        <v>1323</v>
      </c>
      <c r="D228" s="1516"/>
      <c r="E228" s="1249"/>
      <c r="F228" s="1390"/>
      <c r="G228" s="1492"/>
      <c r="H228" s="823"/>
      <c r="I228" s="52" t="s">
        <v>1322</v>
      </c>
      <c r="J228" s="111"/>
      <c r="K228" s="823"/>
      <c r="L228" s="108"/>
      <c r="M228" s="201"/>
      <c r="N228" s="196"/>
      <c r="O228" s="69"/>
      <c r="P228" s="69"/>
      <c r="AH228" s="11">
        <v>0</v>
      </c>
    </row>
    <row r="229" spans="1:34" s="11" customFormat="1" ht="0.75" hidden="1" customHeight="1">
      <c r="A229" s="34"/>
      <c r="B229" s="34"/>
      <c r="C229" s="4" t="s">
        <v>1330</v>
      </c>
      <c r="D229" s="1516"/>
      <c r="E229" s="1249"/>
      <c r="F229" s="1390"/>
      <c r="G229" s="227"/>
      <c r="H229" s="823"/>
      <c r="I229" s="52"/>
      <c r="J229" s="111"/>
      <c r="K229" s="823"/>
      <c r="L229" s="108"/>
      <c r="M229" s="201"/>
      <c r="N229" s="196"/>
      <c r="O229" s="69"/>
      <c r="P229" s="69"/>
      <c r="AH229" s="11">
        <v>0</v>
      </c>
    </row>
    <row r="230" spans="1:34" s="11" customFormat="1" ht="18.75" hidden="1" customHeight="1">
      <c r="A230" s="34" t="s">
        <v>205</v>
      </c>
      <c r="B230" s="34" t="s">
        <v>206</v>
      </c>
      <c r="C230" s="4"/>
      <c r="D230" s="1516"/>
      <c r="E230" s="1249"/>
      <c r="F230" s="1390" t="str">
        <f>INDEX(PT_DIFFERENTIATION_VTAR,MATCH(A230,PT_DIFFERENTIATION_VTAR_ID,0))</f>
        <v>Плата за подключение (технологическое присоединение) к системе теплоснабжения</v>
      </c>
      <c r="G230" s="1492" t="str">
        <f>INDEX(PT_DIFFERENTIATION_NTAR,MATCH(B230,PT_DIFFERENTIATION_NTAR_ID,0))</f>
        <v/>
      </c>
      <c r="H230" s="763"/>
      <c r="I230" s="948"/>
      <c r="J230" s="974"/>
      <c r="K230" s="366"/>
      <c r="L230" s="763" t="s">
        <v>312</v>
      </c>
      <c r="M230" s="201"/>
      <c r="N230" s="196"/>
      <c r="O230" s="69"/>
      <c r="P230" s="69"/>
      <c r="AH230" s="11">
        <v>0</v>
      </c>
    </row>
    <row r="231" spans="1:34" s="11" customFormat="1" ht="18.75" hidden="1" customHeight="1">
      <c r="A231" s="34"/>
      <c r="B231" s="34"/>
      <c r="C231" s="4" t="s">
        <v>1323</v>
      </c>
      <c r="D231" s="1516"/>
      <c r="E231" s="1249"/>
      <c r="F231" s="1390"/>
      <c r="G231" s="1492"/>
      <c r="H231" s="823"/>
      <c r="I231" s="52" t="s">
        <v>1322</v>
      </c>
      <c r="J231" s="111"/>
      <c r="K231" s="823"/>
      <c r="L231" s="108"/>
      <c r="M231" s="201"/>
      <c r="N231" s="196"/>
      <c r="O231" s="69"/>
      <c r="P231" s="69"/>
      <c r="AH231" s="11">
        <v>0</v>
      </c>
    </row>
    <row r="232" spans="1:34" s="11" customFormat="1" ht="0.75" hidden="1" customHeight="1">
      <c r="A232" s="34"/>
      <c r="B232" s="34"/>
      <c r="C232" s="4" t="s">
        <v>1330</v>
      </c>
      <c r="D232" s="1516"/>
      <c r="E232" s="1249"/>
      <c r="F232" s="1390"/>
      <c r="G232" s="227"/>
      <c r="H232" s="823"/>
      <c r="I232" s="52"/>
      <c r="J232" s="111"/>
      <c r="K232" s="823"/>
      <c r="L232" s="108"/>
      <c r="M232" s="201"/>
      <c r="N232" s="196"/>
      <c r="O232" s="69"/>
      <c r="P232" s="69"/>
      <c r="AH232" s="11">
        <v>0</v>
      </c>
    </row>
    <row r="233" spans="1:34" s="11" customFormat="1" ht="18.75" hidden="1" customHeight="1">
      <c r="A233" s="34" t="s">
        <v>211</v>
      </c>
      <c r="B233" s="34" t="s">
        <v>212</v>
      </c>
      <c r="C233" s="4"/>
      <c r="D233" s="1516"/>
      <c r="E233" s="1249"/>
      <c r="F233" s="1390" t="str">
        <f>INDEX(PT_DIFFERENTIATION_VTAR,MATCH(A233,PT_DIFFERENTIATION_VTAR_ID,0))</f>
        <v>Плата за подключение (технологическое присоединение) к системе теплоснабжения (индивидуальная)</v>
      </c>
      <c r="G233" s="1492" t="str">
        <f>INDEX(PT_DIFFERENTIATION_NTAR,MATCH(B233,PT_DIFFERENTIATION_NTAR_ID,0))</f>
        <v/>
      </c>
      <c r="H233" s="763"/>
      <c r="I233" s="948"/>
      <c r="J233" s="974"/>
      <c r="K233" s="366"/>
      <c r="L233" s="763" t="s">
        <v>312</v>
      </c>
      <c r="M233" s="201"/>
      <c r="N233" s="196"/>
      <c r="O233" s="69"/>
      <c r="P233" s="69"/>
      <c r="AH233" s="11">
        <v>0</v>
      </c>
    </row>
    <row r="234" spans="1:34" s="11" customFormat="1" ht="18.75" hidden="1" customHeight="1">
      <c r="A234" s="34"/>
      <c r="B234" s="34"/>
      <c r="C234" s="4" t="s">
        <v>1323</v>
      </c>
      <c r="D234" s="1516"/>
      <c r="E234" s="1249"/>
      <c r="F234" s="1390"/>
      <c r="G234" s="1492"/>
      <c r="H234" s="823"/>
      <c r="I234" s="52" t="s">
        <v>1322</v>
      </c>
      <c r="J234" s="111"/>
      <c r="K234" s="823"/>
      <c r="L234" s="108"/>
      <c r="M234" s="201"/>
      <c r="N234" s="196"/>
      <c r="O234" s="69"/>
      <c r="P234" s="69"/>
      <c r="AH234" s="11">
        <v>0</v>
      </c>
    </row>
    <row r="235" spans="1:34" s="11" customFormat="1" ht="0.75" hidden="1" customHeight="1">
      <c r="A235" s="34"/>
      <c r="B235" s="34"/>
      <c r="C235" s="4" t="s">
        <v>1330</v>
      </c>
      <c r="D235" s="1516"/>
      <c r="E235" s="1249"/>
      <c r="F235" s="1390"/>
      <c r="G235" s="227"/>
      <c r="H235" s="823"/>
      <c r="I235" s="52"/>
      <c r="J235" s="111"/>
      <c r="K235" s="823"/>
      <c r="L235" s="108"/>
      <c r="M235" s="201"/>
      <c r="N235" s="196"/>
      <c r="O235" s="69"/>
      <c r="P235" s="69"/>
      <c r="AH235" s="11">
        <v>0</v>
      </c>
    </row>
    <row r="236" spans="1:34" s="11" customFormat="1" ht="18.75" hidden="1" customHeight="1">
      <c r="A236" s="34" t="s">
        <v>231</v>
      </c>
      <c r="B236" s="34" t="s">
        <v>232</v>
      </c>
      <c r="C236" s="4"/>
      <c r="D236" s="1516"/>
      <c r="E236" s="1249"/>
      <c r="F236" s="1390" t="str">
        <f>INDEX(PT_DIFFERENTIATION_VTAR,MATCH(A236,PT_DIFFERENTIATION_VTAR_ID,0))</f>
        <v>Тариф на питьевую воду (питьевое водоснабжение)</v>
      </c>
      <c r="G236" s="1492" t="str">
        <f>INDEX(PT_DIFFERENTIATION_NTAR,MATCH(B236,PT_DIFFERENTIATION_NTAR_ID,0))</f>
        <v/>
      </c>
      <c r="H236" s="763"/>
      <c r="I236" s="948"/>
      <c r="J236" s="974"/>
      <c r="K236" s="366"/>
      <c r="L236" s="763" t="s">
        <v>312</v>
      </c>
      <c r="M236" s="201"/>
      <c r="N236" s="196"/>
      <c r="O236" s="69"/>
      <c r="P236" s="69"/>
      <c r="AH236" s="11">
        <v>0</v>
      </c>
    </row>
    <row r="237" spans="1:34" s="11" customFormat="1" ht="18.75" hidden="1" customHeight="1">
      <c r="A237" s="34"/>
      <c r="B237" s="34"/>
      <c r="C237" s="4" t="s">
        <v>1323</v>
      </c>
      <c r="D237" s="1516"/>
      <c r="E237" s="1249"/>
      <c r="F237" s="1390"/>
      <c r="G237" s="1492"/>
      <c r="H237" s="823"/>
      <c r="I237" s="52" t="s">
        <v>1322</v>
      </c>
      <c r="J237" s="111"/>
      <c r="K237" s="823"/>
      <c r="L237" s="108"/>
      <c r="M237" s="201"/>
      <c r="N237" s="196"/>
      <c r="O237" s="69"/>
      <c r="P237" s="69"/>
      <c r="AH237" s="11">
        <v>0</v>
      </c>
    </row>
    <row r="238" spans="1:34" s="11" customFormat="1" ht="0.75" hidden="1" customHeight="1">
      <c r="A238" s="34"/>
      <c r="B238" s="34"/>
      <c r="C238" s="4" t="s">
        <v>1330</v>
      </c>
      <c r="D238" s="1516"/>
      <c r="E238" s="1249"/>
      <c r="F238" s="1390"/>
      <c r="G238" s="227"/>
      <c r="H238" s="823"/>
      <c r="I238" s="52"/>
      <c r="J238" s="111"/>
      <c r="K238" s="823"/>
      <c r="L238" s="108"/>
      <c r="M238" s="201"/>
      <c r="N238" s="196"/>
      <c r="O238" s="69"/>
      <c r="P238" s="69"/>
      <c r="AH238" s="11">
        <v>0</v>
      </c>
    </row>
    <row r="239" spans="1:34" s="11" customFormat="1" ht="18.75" hidden="1" customHeight="1">
      <c r="A239" s="34" t="s">
        <v>236</v>
      </c>
      <c r="B239" s="34" t="s">
        <v>237</v>
      </c>
      <c r="C239" s="4"/>
      <c r="D239" s="1516"/>
      <c r="E239" s="1249"/>
      <c r="F239" s="1390" t="str">
        <f>INDEX(PT_DIFFERENTIATION_VTAR,MATCH(A239,PT_DIFFERENTIATION_VTAR_ID,0))</f>
        <v>Тариф на техническую воду</v>
      </c>
      <c r="G239" s="1492" t="str">
        <f>INDEX(PT_DIFFERENTIATION_NTAR,MATCH(B239,PT_DIFFERENTIATION_NTAR_ID,0))</f>
        <v/>
      </c>
      <c r="H239" s="763"/>
      <c r="I239" s="948"/>
      <c r="J239" s="974"/>
      <c r="K239" s="366"/>
      <c r="L239" s="763" t="s">
        <v>312</v>
      </c>
      <c r="M239" s="201"/>
      <c r="N239" s="196"/>
      <c r="O239" s="69"/>
      <c r="P239" s="69"/>
      <c r="AH239" s="11">
        <v>0</v>
      </c>
    </row>
    <row r="240" spans="1:34" s="11" customFormat="1" ht="18.75" hidden="1" customHeight="1">
      <c r="A240" s="34"/>
      <c r="B240" s="34"/>
      <c r="C240" s="4" t="s">
        <v>1323</v>
      </c>
      <c r="D240" s="1516"/>
      <c r="E240" s="1249"/>
      <c r="F240" s="1390"/>
      <c r="G240" s="1492"/>
      <c r="H240" s="823"/>
      <c r="I240" s="52" t="s">
        <v>1322</v>
      </c>
      <c r="J240" s="111"/>
      <c r="K240" s="823"/>
      <c r="L240" s="108"/>
      <c r="M240" s="201"/>
      <c r="N240" s="196"/>
      <c r="O240" s="69"/>
      <c r="P240" s="69"/>
      <c r="AH240" s="11">
        <v>0</v>
      </c>
    </row>
    <row r="241" spans="1:34" s="11" customFormat="1" ht="0.75" hidden="1" customHeight="1">
      <c r="A241" s="34"/>
      <c r="B241" s="34"/>
      <c r="C241" s="4" t="s">
        <v>1330</v>
      </c>
      <c r="D241" s="1516"/>
      <c r="E241" s="1249"/>
      <c r="F241" s="1390"/>
      <c r="G241" s="227"/>
      <c r="H241" s="823"/>
      <c r="I241" s="52"/>
      <c r="J241" s="111"/>
      <c r="K241" s="823"/>
      <c r="L241" s="108"/>
      <c r="M241" s="201"/>
      <c r="N241" s="196"/>
      <c r="O241" s="69"/>
      <c r="P241" s="69"/>
      <c r="AH241" s="11">
        <v>0</v>
      </c>
    </row>
    <row r="242" spans="1:34" s="11" customFormat="1" ht="18.75" hidden="1" customHeight="1">
      <c r="A242" s="34" t="s">
        <v>241</v>
      </c>
      <c r="B242" s="34" t="s">
        <v>242</v>
      </c>
      <c r="C242" s="4"/>
      <c r="D242" s="1516"/>
      <c r="E242" s="1249"/>
      <c r="F242" s="1390" t="str">
        <f>INDEX(PT_DIFFERENTIATION_VTAR,MATCH(A242,PT_DIFFERENTIATION_VTAR_ID,0))</f>
        <v>Тариф на транспортировку воды</v>
      </c>
      <c r="G242" s="1492" t="str">
        <f>INDEX(PT_DIFFERENTIATION_NTAR,MATCH(B242,PT_DIFFERENTIATION_NTAR_ID,0))</f>
        <v/>
      </c>
      <c r="H242" s="763"/>
      <c r="I242" s="948"/>
      <c r="J242" s="974"/>
      <c r="K242" s="366"/>
      <c r="L242" s="763" t="s">
        <v>312</v>
      </c>
      <c r="M242" s="201"/>
      <c r="N242" s="196"/>
      <c r="O242" s="69"/>
      <c r="P242" s="69"/>
      <c r="AH242" s="11">
        <v>0</v>
      </c>
    </row>
    <row r="243" spans="1:34" s="11" customFormat="1" ht="18.75" hidden="1" customHeight="1">
      <c r="A243" s="34"/>
      <c r="B243" s="34"/>
      <c r="C243" s="4" t="s">
        <v>1323</v>
      </c>
      <c r="D243" s="1516"/>
      <c r="E243" s="1249"/>
      <c r="F243" s="1390"/>
      <c r="G243" s="1492"/>
      <c r="H243" s="823"/>
      <c r="I243" s="52" t="s">
        <v>1322</v>
      </c>
      <c r="J243" s="111"/>
      <c r="K243" s="823"/>
      <c r="L243" s="108"/>
      <c r="M243" s="201"/>
      <c r="N243" s="196"/>
      <c r="O243" s="69"/>
      <c r="P243" s="69"/>
      <c r="AH243" s="11">
        <v>0</v>
      </c>
    </row>
    <row r="244" spans="1:34" s="11" customFormat="1" ht="0.75" hidden="1" customHeight="1">
      <c r="A244" s="34"/>
      <c r="B244" s="34"/>
      <c r="C244" s="4" t="s">
        <v>1330</v>
      </c>
      <c r="D244" s="1516"/>
      <c r="E244" s="1249"/>
      <c r="F244" s="1390"/>
      <c r="G244" s="227"/>
      <c r="H244" s="823"/>
      <c r="I244" s="52"/>
      <c r="J244" s="111"/>
      <c r="K244" s="823"/>
      <c r="L244" s="108"/>
      <c r="M244" s="201"/>
      <c r="N244" s="196"/>
      <c r="O244" s="69"/>
      <c r="P244" s="69"/>
      <c r="AH244" s="11">
        <v>0</v>
      </c>
    </row>
    <row r="245" spans="1:34" s="11" customFormat="1" ht="18.75" hidden="1" customHeight="1">
      <c r="A245" s="34" t="s">
        <v>246</v>
      </c>
      <c r="B245" s="34" t="s">
        <v>247</v>
      </c>
      <c r="C245" s="4"/>
      <c r="D245" s="1516"/>
      <c r="E245" s="1249"/>
      <c r="F245" s="1390" t="str">
        <f>INDEX(PT_DIFFERENTIATION_VTAR,MATCH(A245,PT_DIFFERENTIATION_VTAR_ID,0))</f>
        <v>Тариф на подвоз воды</v>
      </c>
      <c r="G245" s="1492" t="str">
        <f>INDEX(PT_DIFFERENTIATION_NTAR,MATCH(B245,PT_DIFFERENTIATION_NTAR_ID,0))</f>
        <v/>
      </c>
      <c r="H245" s="763"/>
      <c r="I245" s="948"/>
      <c r="J245" s="974"/>
      <c r="K245" s="366"/>
      <c r="L245" s="763" t="s">
        <v>312</v>
      </c>
      <c r="M245" s="201"/>
      <c r="N245" s="196"/>
      <c r="O245" s="69"/>
      <c r="P245" s="69"/>
      <c r="AH245" s="11">
        <v>0</v>
      </c>
    </row>
    <row r="246" spans="1:34" s="11" customFormat="1" ht="18.75" hidden="1" customHeight="1">
      <c r="A246" s="34"/>
      <c r="B246" s="34"/>
      <c r="C246" s="4" t="s">
        <v>1323</v>
      </c>
      <c r="D246" s="1516"/>
      <c r="E246" s="1249"/>
      <c r="F246" s="1390"/>
      <c r="G246" s="1492"/>
      <c r="H246" s="823"/>
      <c r="I246" s="52" t="s">
        <v>1322</v>
      </c>
      <c r="J246" s="111"/>
      <c r="K246" s="823"/>
      <c r="L246" s="108"/>
      <c r="M246" s="201"/>
      <c r="N246" s="196"/>
      <c r="O246" s="69"/>
      <c r="P246" s="69"/>
      <c r="AH246" s="11">
        <v>0</v>
      </c>
    </row>
    <row r="247" spans="1:34" s="11" customFormat="1" ht="0.75" hidden="1" customHeight="1">
      <c r="A247" s="34"/>
      <c r="B247" s="34"/>
      <c r="C247" s="4" t="s">
        <v>1330</v>
      </c>
      <c r="D247" s="1516"/>
      <c r="E247" s="1249"/>
      <c r="F247" s="1390"/>
      <c r="G247" s="227"/>
      <c r="H247" s="823"/>
      <c r="I247" s="52"/>
      <c r="J247" s="111"/>
      <c r="K247" s="823"/>
      <c r="L247" s="108"/>
      <c r="M247" s="201"/>
      <c r="N247" s="196"/>
      <c r="O247" s="69"/>
      <c r="P247" s="69"/>
      <c r="AH247" s="11">
        <v>0</v>
      </c>
    </row>
    <row r="248" spans="1:34" s="11" customFormat="1" ht="18.75" hidden="1" customHeight="1">
      <c r="A248" s="34" t="s">
        <v>251</v>
      </c>
      <c r="B248" s="34" t="s">
        <v>252</v>
      </c>
      <c r="C248" s="4"/>
      <c r="D248" s="1516"/>
      <c r="E248" s="1249"/>
      <c r="F248" s="139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92" t="str">
        <f>INDEX(PT_DIFFERENTIATION_NTAR,MATCH(B248,PT_DIFFERENTIATION_NTAR_ID,0))</f>
        <v/>
      </c>
      <c r="H248" s="763"/>
      <c r="I248" s="948"/>
      <c r="J248" s="974"/>
      <c r="K248" s="366"/>
      <c r="L248" s="763" t="s">
        <v>312</v>
      </c>
      <c r="M248" s="201"/>
      <c r="N248" s="196"/>
      <c r="O248" s="69"/>
      <c r="P248" s="69"/>
      <c r="AH248" s="11">
        <v>0</v>
      </c>
    </row>
    <row r="249" spans="1:34" s="11" customFormat="1" ht="18.75" hidden="1" customHeight="1">
      <c r="A249" s="34"/>
      <c r="B249" s="34"/>
      <c r="C249" s="4" t="s">
        <v>1323</v>
      </c>
      <c r="D249" s="1516"/>
      <c r="E249" s="1249"/>
      <c r="F249" s="1390"/>
      <c r="G249" s="1492"/>
      <c r="H249" s="823"/>
      <c r="I249" s="52" t="s">
        <v>1322</v>
      </c>
      <c r="J249" s="111"/>
      <c r="K249" s="823"/>
      <c r="L249" s="108"/>
      <c r="M249" s="201"/>
      <c r="N249" s="196"/>
      <c r="O249" s="69"/>
      <c r="P249" s="69"/>
      <c r="AH249" s="11">
        <v>0</v>
      </c>
    </row>
    <row r="250" spans="1:34" s="11" customFormat="1" ht="0.75" hidden="1" customHeight="1">
      <c r="A250" s="34"/>
      <c r="B250" s="34"/>
      <c r="C250" s="4" t="s">
        <v>1330</v>
      </c>
      <c r="D250" s="1516"/>
      <c r="E250" s="1249"/>
      <c r="F250" s="1390"/>
      <c r="G250" s="227"/>
      <c r="H250" s="823"/>
      <c r="I250" s="52"/>
      <c r="J250" s="111"/>
      <c r="K250" s="823"/>
      <c r="L250" s="108"/>
      <c r="M250" s="201"/>
      <c r="N250" s="196"/>
      <c r="O250" s="69"/>
      <c r="P250" s="69"/>
      <c r="AH250" s="11">
        <v>0</v>
      </c>
    </row>
    <row r="251" spans="1:34" s="11" customFormat="1" ht="18.75" hidden="1" customHeight="1">
      <c r="A251" s="34" t="s">
        <v>256</v>
      </c>
      <c r="B251" s="34" t="s">
        <v>257</v>
      </c>
      <c r="C251" s="4"/>
      <c r="D251" s="1516"/>
      <c r="E251" s="1249"/>
      <c r="F251" s="1390" t="str">
        <f>INDEX(PT_DIFFERENTIATION_VTAR,MATCH(A251,PT_DIFFERENTIATION_VTAR_ID,0))</f>
        <v>Тариф на горячую воду (горячее водоснабжение)</v>
      </c>
      <c r="G251" s="1492" t="str">
        <f>INDEX(PT_DIFFERENTIATION_NTAR,MATCH(B251,PT_DIFFERENTIATION_NTAR_ID,0))</f>
        <v/>
      </c>
      <c r="H251" s="763"/>
      <c r="I251" s="948"/>
      <c r="J251" s="974"/>
      <c r="K251" s="366"/>
      <c r="L251" s="763" t="s">
        <v>312</v>
      </c>
      <c r="M251" s="201"/>
      <c r="N251" s="196"/>
      <c r="O251" s="69"/>
      <c r="P251" s="69"/>
      <c r="AH251" s="11">
        <v>0</v>
      </c>
    </row>
    <row r="252" spans="1:34" s="11" customFormat="1" ht="18.75" hidden="1" customHeight="1">
      <c r="A252" s="34"/>
      <c r="B252" s="34"/>
      <c r="C252" s="4" t="s">
        <v>1323</v>
      </c>
      <c r="D252" s="1516"/>
      <c r="E252" s="1249"/>
      <c r="F252" s="1390"/>
      <c r="G252" s="1492"/>
      <c r="H252" s="823"/>
      <c r="I252" s="52" t="s">
        <v>1322</v>
      </c>
      <c r="J252" s="111"/>
      <c r="K252" s="823"/>
      <c r="L252" s="108"/>
      <c r="M252" s="201"/>
      <c r="N252" s="196"/>
      <c r="O252" s="69"/>
      <c r="P252" s="69"/>
      <c r="AH252" s="11">
        <v>0</v>
      </c>
    </row>
    <row r="253" spans="1:34" s="11" customFormat="1" ht="0.75" hidden="1" customHeight="1">
      <c r="A253" s="34"/>
      <c r="B253" s="34"/>
      <c r="C253" s="4" t="s">
        <v>1330</v>
      </c>
      <c r="D253" s="1516"/>
      <c r="E253" s="1249"/>
      <c r="F253" s="1390"/>
      <c r="G253" s="227"/>
      <c r="H253" s="823"/>
      <c r="I253" s="52"/>
      <c r="J253" s="111"/>
      <c r="K253" s="823"/>
      <c r="L253" s="108"/>
      <c r="M253" s="201"/>
      <c r="N253" s="196"/>
      <c r="O253" s="69"/>
      <c r="P253" s="69"/>
      <c r="AH253" s="11">
        <v>0</v>
      </c>
    </row>
    <row r="254" spans="1:34" s="11" customFormat="1" ht="18.75" hidden="1" customHeight="1">
      <c r="A254" s="34" t="s">
        <v>261</v>
      </c>
      <c r="B254" s="34" t="s">
        <v>262</v>
      </c>
      <c r="C254" s="4"/>
      <c r="D254" s="1516"/>
      <c r="E254" s="1249"/>
      <c r="F254" s="1390" t="str">
        <f>INDEX(PT_DIFFERENTIATION_VTAR,MATCH(A254,PT_DIFFERENTIATION_VTAR_ID,0))</f>
        <v>Тариф на транспортировку горячей воды</v>
      </c>
      <c r="G254" s="1492" t="str">
        <f>INDEX(PT_DIFFERENTIATION_NTAR,MATCH(B254,PT_DIFFERENTIATION_NTAR_ID,0))</f>
        <v/>
      </c>
      <c r="H254" s="763"/>
      <c r="I254" s="948"/>
      <c r="J254" s="974"/>
      <c r="K254" s="366"/>
      <c r="L254" s="763" t="s">
        <v>312</v>
      </c>
      <c r="M254" s="201"/>
      <c r="N254" s="196"/>
      <c r="O254" s="69"/>
      <c r="P254" s="69"/>
      <c r="AH254" s="11">
        <v>0</v>
      </c>
    </row>
    <row r="255" spans="1:34" s="11" customFormat="1" ht="18.75" hidden="1" customHeight="1">
      <c r="A255" s="34"/>
      <c r="B255" s="34"/>
      <c r="C255" s="4" t="s">
        <v>1323</v>
      </c>
      <c r="D255" s="1516"/>
      <c r="E255" s="1249"/>
      <c r="F255" s="1390"/>
      <c r="G255" s="1492"/>
      <c r="H255" s="823"/>
      <c r="I255" s="52" t="s">
        <v>1322</v>
      </c>
      <c r="J255" s="111"/>
      <c r="K255" s="823"/>
      <c r="L255" s="108"/>
      <c r="M255" s="201"/>
      <c r="N255" s="196"/>
      <c r="O255" s="69"/>
      <c r="P255" s="69"/>
      <c r="AH255" s="11">
        <v>0</v>
      </c>
    </row>
    <row r="256" spans="1:34" s="11" customFormat="1" ht="0.75" hidden="1" customHeight="1">
      <c r="A256" s="34"/>
      <c r="B256" s="34"/>
      <c r="C256" s="4" t="s">
        <v>1330</v>
      </c>
      <c r="D256" s="1516"/>
      <c r="E256" s="1249"/>
      <c r="F256" s="1390"/>
      <c r="G256" s="227"/>
      <c r="H256" s="823"/>
      <c r="I256" s="52"/>
      <c r="J256" s="111"/>
      <c r="K256" s="823"/>
      <c r="L256" s="108"/>
      <c r="M256" s="201"/>
      <c r="N256" s="196"/>
      <c r="O256" s="69"/>
      <c r="P256" s="69"/>
      <c r="AH256" s="11">
        <v>0</v>
      </c>
    </row>
    <row r="257" spans="1:34" s="11" customFormat="1" ht="18.75" hidden="1" customHeight="1">
      <c r="A257" s="34" t="s">
        <v>266</v>
      </c>
      <c r="B257" s="34" t="s">
        <v>267</v>
      </c>
      <c r="C257" s="4"/>
      <c r="D257" s="1516"/>
      <c r="E257" s="1249"/>
      <c r="F257" s="1390"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92" t="str">
        <f>INDEX(PT_DIFFERENTIATION_NTAR,MATCH(B257,PT_DIFFERENTIATION_NTAR_ID,0))</f>
        <v/>
      </c>
      <c r="H257" s="763"/>
      <c r="I257" s="948"/>
      <c r="J257" s="974"/>
      <c r="K257" s="366"/>
      <c r="L257" s="763" t="s">
        <v>312</v>
      </c>
      <c r="M257" s="201"/>
      <c r="N257" s="196"/>
      <c r="O257" s="69"/>
      <c r="P257" s="69"/>
      <c r="AH257" s="11">
        <v>0</v>
      </c>
    </row>
    <row r="258" spans="1:34" s="11" customFormat="1" ht="18.75" hidden="1" customHeight="1">
      <c r="A258" s="34"/>
      <c r="B258" s="34"/>
      <c r="C258" s="4" t="s">
        <v>1323</v>
      </c>
      <c r="D258" s="1516"/>
      <c r="E258" s="1249"/>
      <c r="F258" s="1390"/>
      <c r="G258" s="1492"/>
      <c r="H258" s="823"/>
      <c r="I258" s="52" t="s">
        <v>1322</v>
      </c>
      <c r="J258" s="111"/>
      <c r="K258" s="823"/>
      <c r="L258" s="108"/>
      <c r="M258" s="201"/>
      <c r="N258" s="196"/>
      <c r="O258" s="69"/>
      <c r="P258" s="69"/>
      <c r="AH258" s="11">
        <v>0</v>
      </c>
    </row>
    <row r="259" spans="1:34" s="11" customFormat="1" ht="0.75" hidden="1" customHeight="1">
      <c r="A259" s="34"/>
      <c r="B259" s="34"/>
      <c r="C259" s="4" t="s">
        <v>1330</v>
      </c>
      <c r="D259" s="1516"/>
      <c r="E259" s="1249"/>
      <c r="F259" s="1390"/>
      <c r="G259" s="227"/>
      <c r="H259" s="823"/>
      <c r="I259" s="52"/>
      <c r="J259" s="111"/>
      <c r="K259" s="823"/>
      <c r="L259" s="108"/>
      <c r="M259" s="201"/>
      <c r="N259" s="196"/>
      <c r="O259" s="69"/>
      <c r="P259" s="69"/>
      <c r="AH259" s="11">
        <v>0</v>
      </c>
    </row>
    <row r="260" spans="1:34" s="11" customFormat="1" ht="18.75" hidden="1" customHeight="1">
      <c r="A260" s="34" t="s">
        <v>271</v>
      </c>
      <c r="B260" s="34" t="s">
        <v>272</v>
      </c>
      <c r="C260" s="4"/>
      <c r="D260" s="1516"/>
      <c r="E260" s="1249"/>
      <c r="F260" s="1390" t="str">
        <f>INDEX(PT_DIFFERENTIATION_VTAR,MATCH(A260,PT_DIFFERENTIATION_VTAR_ID,0))</f>
        <v>Тариф на водоотведение</v>
      </c>
      <c r="G260" s="1492" t="str">
        <f>INDEX(PT_DIFFERENTIATION_NTAR,MATCH(B260,PT_DIFFERENTIATION_NTAR_ID,0))</f>
        <v/>
      </c>
      <c r="H260" s="763"/>
      <c r="I260" s="948"/>
      <c r="J260" s="974"/>
      <c r="K260" s="366"/>
      <c r="L260" s="763" t="s">
        <v>312</v>
      </c>
      <c r="M260" s="201"/>
      <c r="N260" s="196"/>
      <c r="O260" s="69"/>
      <c r="P260" s="69"/>
      <c r="AH260" s="11">
        <v>0</v>
      </c>
    </row>
    <row r="261" spans="1:34" s="11" customFormat="1" ht="18.75" hidden="1" customHeight="1">
      <c r="A261" s="34"/>
      <c r="B261" s="34"/>
      <c r="C261" s="4" t="s">
        <v>1323</v>
      </c>
      <c r="D261" s="1516"/>
      <c r="E261" s="1249"/>
      <c r="F261" s="1390"/>
      <c r="G261" s="1492"/>
      <c r="H261" s="823"/>
      <c r="I261" s="52" t="s">
        <v>1322</v>
      </c>
      <c r="J261" s="111"/>
      <c r="K261" s="823"/>
      <c r="L261" s="108"/>
      <c r="M261" s="201"/>
      <c r="N261" s="196"/>
      <c r="O261" s="69"/>
      <c r="P261" s="69"/>
      <c r="AH261" s="11">
        <v>0</v>
      </c>
    </row>
    <row r="262" spans="1:34" s="11" customFormat="1" ht="0.75" hidden="1" customHeight="1">
      <c r="A262" s="34"/>
      <c r="B262" s="34"/>
      <c r="C262" s="4" t="s">
        <v>1330</v>
      </c>
      <c r="D262" s="1516"/>
      <c r="E262" s="1249"/>
      <c r="F262" s="1390"/>
      <c r="G262" s="227"/>
      <c r="H262" s="823"/>
      <c r="I262" s="52"/>
      <c r="J262" s="111"/>
      <c r="K262" s="823"/>
      <c r="L262" s="108"/>
      <c r="M262" s="201"/>
      <c r="N262" s="196"/>
      <c r="O262" s="69"/>
      <c r="P262" s="69"/>
      <c r="AH262" s="11">
        <v>0</v>
      </c>
    </row>
    <row r="263" spans="1:34" s="11" customFormat="1" ht="18.75" hidden="1" customHeight="1">
      <c r="A263" s="34" t="s">
        <v>276</v>
      </c>
      <c r="B263" s="34" t="s">
        <v>277</v>
      </c>
      <c r="C263" s="4"/>
      <c r="D263" s="1516"/>
      <c r="E263" s="1249"/>
      <c r="F263" s="1390" t="str">
        <f>INDEX(PT_DIFFERENTIATION_VTAR,MATCH(A263,PT_DIFFERENTIATION_VTAR_ID,0))</f>
        <v>Тариф на транспортировку сточных вод</v>
      </c>
      <c r="G263" s="1492" t="str">
        <f>INDEX(PT_DIFFERENTIATION_NTAR,MATCH(B263,PT_DIFFERENTIATION_NTAR_ID,0))</f>
        <v/>
      </c>
      <c r="H263" s="763"/>
      <c r="I263" s="948"/>
      <c r="J263" s="974"/>
      <c r="K263" s="366"/>
      <c r="L263" s="763" t="s">
        <v>312</v>
      </c>
      <c r="M263" s="201"/>
      <c r="N263" s="196"/>
      <c r="O263" s="69"/>
      <c r="P263" s="69"/>
      <c r="AH263" s="11">
        <v>0</v>
      </c>
    </row>
    <row r="264" spans="1:34" s="11" customFormat="1" ht="18.75" hidden="1" customHeight="1">
      <c r="A264" s="34"/>
      <c r="B264" s="34"/>
      <c r="C264" s="4" t="s">
        <v>1323</v>
      </c>
      <c r="D264" s="1516"/>
      <c r="E264" s="1249"/>
      <c r="F264" s="1390"/>
      <c r="G264" s="1492"/>
      <c r="H264" s="823"/>
      <c r="I264" s="52" t="s">
        <v>1322</v>
      </c>
      <c r="J264" s="111"/>
      <c r="K264" s="823"/>
      <c r="L264" s="108"/>
      <c r="M264" s="201"/>
      <c r="N264" s="196"/>
      <c r="O264" s="69"/>
      <c r="P264" s="69"/>
      <c r="AH264" s="11">
        <v>0</v>
      </c>
    </row>
    <row r="265" spans="1:34" s="11" customFormat="1" ht="0.75" hidden="1" customHeight="1">
      <c r="A265" s="34"/>
      <c r="B265" s="34"/>
      <c r="C265" s="4" t="s">
        <v>1330</v>
      </c>
      <c r="D265" s="1516"/>
      <c r="E265" s="1249"/>
      <c r="F265" s="1390"/>
      <c r="G265" s="227"/>
      <c r="H265" s="823"/>
      <c r="I265" s="52"/>
      <c r="J265" s="111"/>
      <c r="K265" s="823"/>
      <c r="L265" s="108"/>
      <c r="M265" s="201"/>
      <c r="N265" s="196"/>
      <c r="O265" s="69"/>
      <c r="P265" s="69"/>
      <c r="AH265" s="11">
        <v>0</v>
      </c>
    </row>
    <row r="266" spans="1:34" s="11" customFormat="1" ht="18.75" hidden="1" customHeight="1">
      <c r="A266" s="34" t="s">
        <v>281</v>
      </c>
      <c r="B266" s="34" t="s">
        <v>282</v>
      </c>
      <c r="C266" s="4"/>
      <c r="D266" s="1516"/>
      <c r="E266" s="1249"/>
      <c r="F266" s="1390" t="str">
        <f>INDEX(PT_DIFFERENTIATION_VTAR,MATCH(A266,PT_DIFFERENTIATION_VTAR_ID,0))</f>
        <v>Тариф на подключение (технологическое присоединение) к централизованной системе водоотведения</v>
      </c>
      <c r="G266" s="1492" t="str">
        <f>INDEX(PT_DIFFERENTIATION_NTAR,MATCH(B266,PT_DIFFERENTIATION_NTAR_ID,0))</f>
        <v/>
      </c>
      <c r="H266" s="763"/>
      <c r="I266" s="948"/>
      <c r="J266" s="974"/>
      <c r="K266" s="366"/>
      <c r="L266" s="763" t="s">
        <v>312</v>
      </c>
      <c r="M266" s="201"/>
      <c r="N266" s="196"/>
      <c r="O266" s="69"/>
      <c r="P266" s="69"/>
      <c r="AH266" s="11">
        <v>0</v>
      </c>
    </row>
    <row r="267" spans="1:34" s="11" customFormat="1" ht="18.75" hidden="1" customHeight="1">
      <c r="A267" s="34"/>
      <c r="B267" s="34"/>
      <c r="C267" s="4" t="s">
        <v>1323</v>
      </c>
      <c r="D267" s="1516"/>
      <c r="E267" s="1249"/>
      <c r="F267" s="1390"/>
      <c r="G267" s="1492"/>
      <c r="H267" s="823"/>
      <c r="I267" s="52" t="s">
        <v>1322</v>
      </c>
      <c r="J267" s="111"/>
      <c r="K267" s="823"/>
      <c r="L267" s="108"/>
      <c r="M267" s="201"/>
      <c r="N267" s="196"/>
      <c r="O267" s="69"/>
      <c r="P267" s="69"/>
      <c r="AH267" s="11">
        <v>0</v>
      </c>
    </row>
    <row r="268" spans="1:34" s="11" customFormat="1" ht="1.1499999999999999" customHeight="1">
      <c r="A268" s="34"/>
      <c r="B268" s="34"/>
      <c r="C268" s="4" t="s">
        <v>1330</v>
      </c>
      <c r="D268" s="1516"/>
      <c r="E268" s="1249"/>
      <c r="F268" s="1390"/>
      <c r="G268" s="227"/>
      <c r="H268" s="823"/>
      <c r="I268" s="52"/>
      <c r="J268" s="111"/>
      <c r="K268" s="823"/>
      <c r="L268" s="108"/>
      <c r="M268" s="201"/>
      <c r="N268" s="196"/>
      <c r="O268" s="69"/>
      <c r="P268" s="69"/>
      <c r="AH268" s="11">
        <v>1</v>
      </c>
    </row>
    <row r="269" spans="1:34" ht="27.4" customHeight="1">
      <c r="A269" s="34"/>
      <c r="B269" s="34"/>
      <c r="D269" s="28"/>
      <c r="E269" s="64" t="s">
        <v>92</v>
      </c>
      <c r="F269" s="151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515"/>
      <c r="H269" s="1515"/>
      <c r="I269" s="1515"/>
      <c r="J269" s="1515"/>
      <c r="K269" s="1515"/>
      <c r="L269" s="1515"/>
      <c r="M269" s="114"/>
      <c r="N269" s="196"/>
      <c r="AH269" s="11">
        <v>26</v>
      </c>
    </row>
    <row r="270" spans="1:34" s="11" customFormat="1" ht="60.75" hidden="1" customHeight="1">
      <c r="A270" s="34" t="s">
        <v>163</v>
      </c>
      <c r="B270" s="34" t="s">
        <v>164</v>
      </c>
      <c r="C270" s="4"/>
      <c r="D270" s="1516"/>
      <c r="E270" s="1249"/>
      <c r="F270" s="139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92" t="str">
        <f>INDEX(PT_DIFFERENTIATION_NTAR,MATCH(B270,PT_DIFFERENTIATION_NTAR_ID,0))</f>
        <v/>
      </c>
      <c r="H270" s="763"/>
      <c r="I270" s="948"/>
      <c r="J270" s="974"/>
      <c r="K270" s="366"/>
      <c r="L270" s="763" t="s">
        <v>312</v>
      </c>
      <c r="M270"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1323</v>
      </c>
      <c r="D271" s="1516"/>
      <c r="E271" s="1249"/>
      <c r="F271" s="1390"/>
      <c r="G271" s="1492"/>
      <c r="H271" s="823"/>
      <c r="I271" s="52" t="s">
        <v>1322</v>
      </c>
      <c r="J271" s="111"/>
      <c r="K271" s="823"/>
      <c r="L271" s="108"/>
      <c r="M271" s="1210"/>
      <c r="N271" s="196"/>
      <c r="O271" s="69"/>
      <c r="P271" s="69"/>
      <c r="AH271" s="11">
        <v>0</v>
      </c>
    </row>
    <row r="272" spans="1:34" s="11" customFormat="1" ht="0.75" hidden="1" customHeight="1">
      <c r="A272" s="34"/>
      <c r="B272" s="34"/>
      <c r="C272" s="4" t="s">
        <v>1330</v>
      </c>
      <c r="D272" s="1516"/>
      <c r="E272" s="1249"/>
      <c r="F272" s="1390"/>
      <c r="G272" s="227"/>
      <c r="H272" s="823"/>
      <c r="I272" s="52"/>
      <c r="J272" s="111"/>
      <c r="K272" s="823"/>
      <c r="L272" s="108"/>
      <c r="M272" s="1210"/>
      <c r="N272" s="196"/>
      <c r="O272" s="69"/>
      <c r="P272" s="69"/>
      <c r="AH272" s="11">
        <v>0</v>
      </c>
    </row>
    <row r="273" spans="1:34" s="11" customFormat="1" ht="45" hidden="1" customHeight="1">
      <c r="A273" s="34" t="s">
        <v>168</v>
      </c>
      <c r="B273" s="34" t="s">
        <v>169</v>
      </c>
      <c r="C273" s="4"/>
      <c r="D273" s="1516"/>
      <c r="E273" s="1249"/>
      <c r="F273" s="1390" t="str">
        <f>INDEX(PT_DIFFERENTIATION_VTAR,MATCH(A273,PT_DIFFERENTIATION_VTAR_ID,0))</f>
        <v/>
      </c>
      <c r="G273" s="1492" t="str">
        <f>INDEX(PT_DIFFERENTIATION_NTAR,MATCH(B273,PT_DIFFERENTIATION_NTAR_ID,0))</f>
        <v/>
      </c>
      <c r="H273" s="763"/>
      <c r="I273" s="948"/>
      <c r="J273" s="974"/>
      <c r="K273" s="366"/>
      <c r="L273" s="763" t="s">
        <v>312</v>
      </c>
      <c r="M273" s="1211"/>
      <c r="N273" s="196"/>
      <c r="O273" s="69"/>
      <c r="P273" s="69"/>
      <c r="AH273" s="11">
        <v>0</v>
      </c>
    </row>
    <row r="274" spans="1:34" s="11" customFormat="1" ht="18.75" hidden="1" customHeight="1">
      <c r="A274" s="34"/>
      <c r="B274" s="34"/>
      <c r="C274" s="4" t="s">
        <v>1323</v>
      </c>
      <c r="D274" s="1516"/>
      <c r="E274" s="1249"/>
      <c r="F274" s="1390"/>
      <c r="G274" s="1492"/>
      <c r="H274" s="823"/>
      <c r="I274" s="52" t="s">
        <v>1322</v>
      </c>
      <c r="J274" s="111"/>
      <c r="K274" s="823"/>
      <c r="L274" s="108"/>
      <c r="M274" s="1003"/>
      <c r="N274" s="196"/>
      <c r="O274" s="69"/>
      <c r="P274" s="69"/>
      <c r="AH274" s="11">
        <v>0</v>
      </c>
    </row>
    <row r="275" spans="1:34" s="11" customFormat="1" ht="0.75" hidden="1" customHeight="1">
      <c r="A275" s="34"/>
      <c r="B275" s="34"/>
      <c r="C275" s="4" t="s">
        <v>1330</v>
      </c>
      <c r="D275" s="1516"/>
      <c r="E275" s="1249"/>
      <c r="F275" s="1390"/>
      <c r="G275" s="227"/>
      <c r="H275" s="823"/>
      <c r="I275" s="52"/>
      <c r="J275" s="111"/>
      <c r="K275" s="823"/>
      <c r="L275" s="108"/>
      <c r="M275" s="201"/>
      <c r="N275" s="196"/>
      <c r="O275" s="69"/>
      <c r="P275" s="69"/>
      <c r="AH275" s="11">
        <v>0</v>
      </c>
    </row>
    <row r="276" spans="1:34" s="11" customFormat="1" ht="45" hidden="1" customHeight="1">
      <c r="A276" s="34" t="s">
        <v>175</v>
      </c>
      <c r="B276" s="34" t="s">
        <v>176</v>
      </c>
      <c r="C276" s="4"/>
      <c r="D276" s="1516"/>
      <c r="E276" s="1249"/>
      <c r="F276" s="139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92" t="str">
        <f>INDEX(PT_DIFFERENTIATION_NTAR,MATCH(B276,PT_DIFFERENTIATION_NTAR_ID,0))</f>
        <v/>
      </c>
      <c r="H276" s="763"/>
      <c r="I276" s="948"/>
      <c r="J276" s="974"/>
      <c r="K276" s="366"/>
      <c r="L276" s="763" t="s">
        <v>312</v>
      </c>
      <c r="M276" s="201"/>
      <c r="N276" s="196"/>
      <c r="O276" s="69"/>
      <c r="P276" s="69"/>
      <c r="AH276" s="11">
        <v>0</v>
      </c>
    </row>
    <row r="277" spans="1:34" s="11" customFormat="1" ht="18.75" hidden="1" customHeight="1">
      <c r="A277" s="34"/>
      <c r="B277" s="34"/>
      <c r="C277" s="4" t="s">
        <v>1323</v>
      </c>
      <c r="D277" s="1516"/>
      <c r="E277" s="1249"/>
      <c r="F277" s="1390"/>
      <c r="G277" s="1492"/>
      <c r="H277" s="823"/>
      <c r="I277" s="52" t="s">
        <v>1322</v>
      </c>
      <c r="J277" s="111"/>
      <c r="K277" s="823"/>
      <c r="L277" s="108"/>
      <c r="M277" s="201"/>
      <c r="N277" s="196"/>
      <c r="O277" s="69"/>
      <c r="P277" s="69"/>
      <c r="AH277" s="11">
        <v>0</v>
      </c>
    </row>
    <row r="278" spans="1:34" s="11" customFormat="1" ht="0.75" hidden="1" customHeight="1">
      <c r="A278" s="34"/>
      <c r="B278" s="34"/>
      <c r="C278" s="4" t="s">
        <v>1330</v>
      </c>
      <c r="D278" s="1516"/>
      <c r="E278" s="1249"/>
      <c r="F278" s="1390"/>
      <c r="G278" s="227"/>
      <c r="H278" s="823"/>
      <c r="I278" s="52"/>
      <c r="J278" s="111"/>
      <c r="K278" s="823"/>
      <c r="L278" s="108"/>
      <c r="M278" s="201"/>
      <c r="N278" s="196"/>
      <c r="O278" s="69"/>
      <c r="P278" s="69"/>
      <c r="AH278" s="11">
        <v>0</v>
      </c>
    </row>
    <row r="279" spans="1:34" s="11" customFormat="1" ht="45" hidden="1" customHeight="1">
      <c r="A279" s="34" t="s">
        <v>181</v>
      </c>
      <c r="B279" s="34" t="s">
        <v>182</v>
      </c>
      <c r="C279" s="4"/>
      <c r="D279" s="1516"/>
      <c r="E279" s="1249"/>
      <c r="F279" s="139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92" t="str">
        <f>INDEX(PT_DIFFERENTIATION_NTAR,MATCH(B279,PT_DIFFERENTIATION_NTAR_ID,0))</f>
        <v/>
      </c>
      <c r="H279" s="763"/>
      <c r="I279" s="948"/>
      <c r="J279" s="974"/>
      <c r="K279" s="366"/>
      <c r="L279" s="763" t="s">
        <v>312</v>
      </c>
      <c r="M279" s="201"/>
      <c r="N279" s="196"/>
      <c r="O279" s="69"/>
      <c r="P279" s="69"/>
      <c r="AH279" s="11">
        <v>0</v>
      </c>
    </row>
    <row r="280" spans="1:34" s="11" customFormat="1" ht="18.75" hidden="1" customHeight="1">
      <c r="A280" s="34"/>
      <c r="B280" s="34"/>
      <c r="C280" s="4" t="s">
        <v>1323</v>
      </c>
      <c r="D280" s="1516"/>
      <c r="E280" s="1249"/>
      <c r="F280" s="1390"/>
      <c r="G280" s="1492"/>
      <c r="H280" s="823"/>
      <c r="I280" s="52" t="s">
        <v>1322</v>
      </c>
      <c r="J280" s="111"/>
      <c r="K280" s="823"/>
      <c r="L280" s="108"/>
      <c r="M280" s="201"/>
      <c r="N280" s="196"/>
      <c r="O280" s="69"/>
      <c r="P280" s="69"/>
      <c r="AH280" s="11">
        <v>0</v>
      </c>
    </row>
    <row r="281" spans="1:34" s="11" customFormat="1" ht="0.75" hidden="1" customHeight="1">
      <c r="A281" s="34"/>
      <c r="B281" s="34"/>
      <c r="C281" s="4" t="s">
        <v>1330</v>
      </c>
      <c r="D281" s="1516"/>
      <c r="E281" s="1249"/>
      <c r="F281" s="1390"/>
      <c r="G281" s="227"/>
      <c r="H281" s="823"/>
      <c r="I281" s="52"/>
      <c r="J281" s="111"/>
      <c r="K281" s="823"/>
      <c r="L281" s="108"/>
      <c r="M281" s="201"/>
      <c r="N281" s="196"/>
      <c r="O281" s="69"/>
      <c r="P281" s="69"/>
      <c r="AH281" s="11">
        <v>0</v>
      </c>
    </row>
    <row r="282" spans="1:34" s="11" customFormat="1" ht="18.75" hidden="1" customHeight="1">
      <c r="A282" s="34" t="s">
        <v>187</v>
      </c>
      <c r="B282" s="34" t="s">
        <v>188</v>
      </c>
      <c r="C282" s="4"/>
      <c r="D282" s="1516"/>
      <c r="E282" s="1249"/>
      <c r="F282" s="1390" t="str">
        <f>INDEX(PT_DIFFERENTIATION_VTAR,MATCH(A282,PT_DIFFERENTIATION_VTAR_ID,0))</f>
        <v>Тарифы на услуги по передаче тепловой энергии</v>
      </c>
      <c r="G282" s="1492" t="str">
        <f>INDEX(PT_DIFFERENTIATION_NTAR,MATCH(B282,PT_DIFFERENTIATION_NTAR_ID,0))</f>
        <v/>
      </c>
      <c r="H282" s="763"/>
      <c r="I282" s="948"/>
      <c r="J282" s="974"/>
      <c r="K282" s="366"/>
      <c r="L282" s="763" t="s">
        <v>312</v>
      </c>
      <c r="M282" s="201"/>
      <c r="N282" s="196"/>
      <c r="O282" s="69"/>
      <c r="P282" s="69"/>
      <c r="AH282" s="11">
        <v>0</v>
      </c>
    </row>
    <row r="283" spans="1:34" s="11" customFormat="1" ht="18.75" hidden="1" customHeight="1">
      <c r="A283" s="34"/>
      <c r="B283" s="34"/>
      <c r="C283" s="4" t="s">
        <v>1323</v>
      </c>
      <c r="D283" s="1516"/>
      <c r="E283" s="1249"/>
      <c r="F283" s="1390"/>
      <c r="G283" s="1492"/>
      <c r="H283" s="823"/>
      <c r="I283" s="52" t="s">
        <v>1322</v>
      </c>
      <c r="J283" s="111"/>
      <c r="K283" s="823"/>
      <c r="L283" s="108"/>
      <c r="M283" s="201"/>
      <c r="N283" s="196"/>
      <c r="O283" s="69"/>
      <c r="P283" s="69"/>
      <c r="AH283" s="11">
        <v>0</v>
      </c>
    </row>
    <row r="284" spans="1:34" s="11" customFormat="1" ht="0.75" hidden="1" customHeight="1">
      <c r="A284" s="34"/>
      <c r="B284" s="34"/>
      <c r="C284" s="4" t="s">
        <v>1330</v>
      </c>
      <c r="D284" s="1516"/>
      <c r="E284" s="1249"/>
      <c r="F284" s="1390"/>
      <c r="G284" s="227"/>
      <c r="H284" s="823"/>
      <c r="I284" s="52"/>
      <c r="J284" s="111"/>
      <c r="K284" s="823"/>
      <c r="L284" s="108"/>
      <c r="M284" s="201"/>
      <c r="N284" s="196"/>
      <c r="O284" s="69"/>
      <c r="P284" s="69"/>
      <c r="AH284" s="11">
        <v>0</v>
      </c>
    </row>
    <row r="285" spans="1:34" s="11" customFormat="1" ht="18.75" hidden="1" customHeight="1">
      <c r="A285" s="34" t="s">
        <v>193</v>
      </c>
      <c r="B285" s="34" t="s">
        <v>194</v>
      </c>
      <c r="C285" s="4"/>
      <c r="D285" s="1516"/>
      <c r="E285" s="1249"/>
      <c r="F285" s="1390" t="str">
        <f>INDEX(PT_DIFFERENTIATION_VTAR,MATCH(A285,PT_DIFFERENTIATION_VTAR_ID,0))</f>
        <v>Тарифы на услуги по передаче теплоносителя</v>
      </c>
      <c r="G285" s="1492" t="str">
        <f>INDEX(PT_DIFFERENTIATION_NTAR,MATCH(B285,PT_DIFFERENTIATION_NTAR_ID,0))</f>
        <v/>
      </c>
      <c r="H285" s="763"/>
      <c r="I285" s="948"/>
      <c r="J285" s="974"/>
      <c r="K285" s="366"/>
      <c r="L285" s="763" t="s">
        <v>312</v>
      </c>
      <c r="M285" s="201"/>
      <c r="N285" s="196"/>
      <c r="O285" s="69"/>
      <c r="P285" s="69"/>
      <c r="AH285" s="11">
        <v>0</v>
      </c>
    </row>
    <row r="286" spans="1:34" s="11" customFormat="1" ht="18.75" hidden="1" customHeight="1">
      <c r="A286" s="34"/>
      <c r="B286" s="34"/>
      <c r="C286" s="4" t="s">
        <v>1323</v>
      </c>
      <c r="D286" s="1516"/>
      <c r="E286" s="1249"/>
      <c r="F286" s="1390"/>
      <c r="G286" s="1492"/>
      <c r="H286" s="823"/>
      <c r="I286" s="52" t="s">
        <v>1322</v>
      </c>
      <c r="J286" s="111"/>
      <c r="K286" s="823"/>
      <c r="L286" s="108"/>
      <c r="M286" s="201"/>
      <c r="N286" s="196"/>
      <c r="O286" s="69"/>
      <c r="P286" s="69"/>
      <c r="AH286" s="11">
        <v>0</v>
      </c>
    </row>
    <row r="287" spans="1:34" s="11" customFormat="1" ht="0.75" hidden="1" customHeight="1">
      <c r="A287" s="34"/>
      <c r="B287" s="34"/>
      <c r="C287" s="4" t="s">
        <v>1330</v>
      </c>
      <c r="D287" s="1516"/>
      <c r="E287" s="1249"/>
      <c r="F287" s="1390"/>
      <c r="G287" s="227"/>
      <c r="H287" s="823"/>
      <c r="I287" s="52"/>
      <c r="J287" s="111"/>
      <c r="K287" s="823"/>
      <c r="L287" s="108"/>
      <c r="M287" s="201"/>
      <c r="N287" s="196"/>
      <c r="O287" s="69"/>
      <c r="P287" s="69"/>
      <c r="AH287" s="11">
        <v>0</v>
      </c>
    </row>
    <row r="288" spans="1:34" s="11" customFormat="1" ht="18.75" hidden="1" customHeight="1">
      <c r="A288" s="34" t="s">
        <v>199</v>
      </c>
      <c r="B288" s="34" t="s">
        <v>200</v>
      </c>
      <c r="C288" s="4"/>
      <c r="D288" s="1516"/>
      <c r="E288" s="1249"/>
      <c r="F288" s="139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92" t="str">
        <f>INDEX(PT_DIFFERENTIATION_NTAR,MATCH(B288,PT_DIFFERENTIATION_NTAR_ID,0))</f>
        <v/>
      </c>
      <c r="H288" s="763"/>
      <c r="I288" s="948"/>
      <c r="J288" s="974"/>
      <c r="K288" s="366"/>
      <c r="L288" s="763" t="s">
        <v>312</v>
      </c>
      <c r="M288" s="201"/>
      <c r="N288" s="196"/>
      <c r="O288" s="69"/>
      <c r="P288" s="69"/>
      <c r="AH288" s="11">
        <v>0</v>
      </c>
    </row>
    <row r="289" spans="1:34" s="11" customFormat="1" ht="18.75" hidden="1" customHeight="1">
      <c r="A289" s="34"/>
      <c r="B289" s="34"/>
      <c r="C289" s="4" t="s">
        <v>1323</v>
      </c>
      <c r="D289" s="1516"/>
      <c r="E289" s="1249"/>
      <c r="F289" s="1390"/>
      <c r="G289" s="1492"/>
      <c r="H289" s="823"/>
      <c r="I289" s="52" t="s">
        <v>1322</v>
      </c>
      <c r="J289" s="111"/>
      <c r="K289" s="823"/>
      <c r="L289" s="108"/>
      <c r="M289" s="201"/>
      <c r="N289" s="196"/>
      <c r="O289" s="69"/>
      <c r="P289" s="69"/>
      <c r="AH289" s="11">
        <v>0</v>
      </c>
    </row>
    <row r="290" spans="1:34" s="11" customFormat="1" ht="0.75" hidden="1" customHeight="1">
      <c r="A290" s="34"/>
      <c r="B290" s="34"/>
      <c r="C290" s="4" t="s">
        <v>1330</v>
      </c>
      <c r="D290" s="1516"/>
      <c r="E290" s="1249"/>
      <c r="F290" s="1390"/>
      <c r="G290" s="227"/>
      <c r="H290" s="823"/>
      <c r="I290" s="52"/>
      <c r="J290" s="111"/>
      <c r="K290" s="823"/>
      <c r="L290" s="108"/>
      <c r="M290" s="201"/>
      <c r="N290" s="196"/>
      <c r="O290" s="69"/>
      <c r="P290" s="69"/>
      <c r="AH290" s="11">
        <v>0</v>
      </c>
    </row>
    <row r="291" spans="1:34" s="11" customFormat="1" ht="18.75" hidden="1" customHeight="1">
      <c r="A291" s="34" t="s">
        <v>205</v>
      </c>
      <c r="B291" s="34" t="s">
        <v>206</v>
      </c>
      <c r="C291" s="4"/>
      <c r="D291" s="1516"/>
      <c r="E291" s="1249"/>
      <c r="F291" s="1390" t="str">
        <f>INDEX(PT_DIFFERENTIATION_VTAR,MATCH(A291,PT_DIFFERENTIATION_VTAR_ID,0))</f>
        <v>Плата за подключение (технологическое присоединение) к системе теплоснабжения</v>
      </c>
      <c r="G291" s="1492" t="str">
        <f>INDEX(PT_DIFFERENTIATION_NTAR,MATCH(B291,PT_DIFFERENTIATION_NTAR_ID,0))</f>
        <v/>
      </c>
      <c r="H291" s="763"/>
      <c r="I291" s="948"/>
      <c r="J291" s="974"/>
      <c r="K291" s="366"/>
      <c r="L291" s="763" t="s">
        <v>312</v>
      </c>
      <c r="M291" s="201"/>
      <c r="N291" s="196"/>
      <c r="O291" s="69"/>
      <c r="P291" s="69"/>
      <c r="AH291" s="11">
        <v>0</v>
      </c>
    </row>
    <row r="292" spans="1:34" s="11" customFormat="1" ht="18.75" hidden="1" customHeight="1">
      <c r="A292" s="34"/>
      <c r="B292" s="34"/>
      <c r="C292" s="4" t="s">
        <v>1323</v>
      </c>
      <c r="D292" s="1516"/>
      <c r="E292" s="1249"/>
      <c r="F292" s="1390"/>
      <c r="G292" s="1492"/>
      <c r="H292" s="823"/>
      <c r="I292" s="52" t="s">
        <v>1322</v>
      </c>
      <c r="J292" s="111"/>
      <c r="K292" s="823"/>
      <c r="L292" s="108"/>
      <c r="M292" s="201"/>
      <c r="N292" s="196"/>
      <c r="O292" s="69"/>
      <c r="P292" s="69"/>
      <c r="AH292" s="11">
        <v>0</v>
      </c>
    </row>
    <row r="293" spans="1:34" s="11" customFormat="1" ht="0.75" hidden="1" customHeight="1">
      <c r="A293" s="34"/>
      <c r="B293" s="34"/>
      <c r="C293" s="4" t="s">
        <v>1330</v>
      </c>
      <c r="D293" s="1516"/>
      <c r="E293" s="1249"/>
      <c r="F293" s="1390"/>
      <c r="G293" s="227"/>
      <c r="H293" s="823"/>
      <c r="I293" s="52"/>
      <c r="J293" s="111"/>
      <c r="K293" s="823"/>
      <c r="L293" s="108"/>
      <c r="M293" s="201"/>
      <c r="N293" s="196"/>
      <c r="O293" s="69"/>
      <c r="P293" s="69"/>
      <c r="AH293" s="11">
        <v>0</v>
      </c>
    </row>
    <row r="294" spans="1:34" s="11" customFormat="1" ht="18.75" hidden="1" customHeight="1">
      <c r="A294" s="34" t="s">
        <v>211</v>
      </c>
      <c r="B294" s="34" t="s">
        <v>212</v>
      </c>
      <c r="C294" s="4"/>
      <c r="D294" s="1516"/>
      <c r="E294" s="1249"/>
      <c r="F294" s="1390" t="str">
        <f>INDEX(PT_DIFFERENTIATION_VTAR,MATCH(A294,PT_DIFFERENTIATION_VTAR_ID,0))</f>
        <v>Плата за подключение (технологическое присоединение) к системе теплоснабжения (индивидуальная)</v>
      </c>
      <c r="G294" s="1492" t="str">
        <f>INDEX(PT_DIFFERENTIATION_NTAR,MATCH(B294,PT_DIFFERENTIATION_NTAR_ID,0))</f>
        <v/>
      </c>
      <c r="H294" s="763"/>
      <c r="I294" s="948"/>
      <c r="J294" s="974"/>
      <c r="K294" s="366"/>
      <c r="L294" s="763" t="s">
        <v>312</v>
      </c>
      <c r="M294" s="201"/>
      <c r="N294" s="196"/>
      <c r="O294" s="69"/>
      <c r="P294" s="69"/>
      <c r="AH294" s="11">
        <v>0</v>
      </c>
    </row>
    <row r="295" spans="1:34" s="11" customFormat="1" ht="18.75" hidden="1" customHeight="1">
      <c r="A295" s="34"/>
      <c r="B295" s="34"/>
      <c r="C295" s="4" t="s">
        <v>1323</v>
      </c>
      <c r="D295" s="1516"/>
      <c r="E295" s="1249"/>
      <c r="F295" s="1390"/>
      <c r="G295" s="1492"/>
      <c r="H295" s="823"/>
      <c r="I295" s="52" t="s">
        <v>1322</v>
      </c>
      <c r="J295" s="111"/>
      <c r="K295" s="823"/>
      <c r="L295" s="108"/>
      <c r="M295" s="201"/>
      <c r="N295" s="196"/>
      <c r="O295" s="69"/>
      <c r="P295" s="69"/>
      <c r="AH295" s="11">
        <v>0</v>
      </c>
    </row>
    <row r="296" spans="1:34" s="11" customFormat="1" ht="0.75" hidden="1" customHeight="1">
      <c r="A296" s="34"/>
      <c r="B296" s="34"/>
      <c r="C296" s="4" t="s">
        <v>1330</v>
      </c>
      <c r="D296" s="1516"/>
      <c r="E296" s="1249"/>
      <c r="F296" s="1390"/>
      <c r="G296" s="227"/>
      <c r="H296" s="823"/>
      <c r="I296" s="52"/>
      <c r="J296" s="111"/>
      <c r="K296" s="823"/>
      <c r="L296" s="108"/>
      <c r="M296" s="201"/>
      <c r="N296" s="196"/>
      <c r="O296" s="69"/>
      <c r="P296" s="69"/>
      <c r="AH296" s="11">
        <v>0</v>
      </c>
    </row>
    <row r="297" spans="1:34" s="11" customFormat="1" ht="18.75" hidden="1" customHeight="1">
      <c r="A297" s="34" t="s">
        <v>231</v>
      </c>
      <c r="B297" s="34" t="s">
        <v>232</v>
      </c>
      <c r="C297" s="4"/>
      <c r="D297" s="1516"/>
      <c r="E297" s="1249"/>
      <c r="F297" s="1390" t="str">
        <f>INDEX(PT_DIFFERENTIATION_VTAR,MATCH(A297,PT_DIFFERENTIATION_VTAR_ID,0))</f>
        <v>Тариф на питьевую воду (питьевое водоснабжение)</v>
      </c>
      <c r="G297" s="1492" t="str">
        <f>INDEX(PT_DIFFERENTIATION_NTAR,MATCH(B297,PT_DIFFERENTIATION_NTAR_ID,0))</f>
        <v/>
      </c>
      <c r="H297" s="763"/>
      <c r="I297" s="948"/>
      <c r="J297" s="974"/>
      <c r="K297" s="366"/>
      <c r="L297" s="763" t="s">
        <v>312</v>
      </c>
      <c r="M297" s="201"/>
      <c r="N297" s="196"/>
      <c r="O297" s="69"/>
      <c r="P297" s="69"/>
      <c r="AH297" s="11">
        <v>0</v>
      </c>
    </row>
    <row r="298" spans="1:34" s="11" customFormat="1" ht="18.75" hidden="1" customHeight="1">
      <c r="A298" s="34"/>
      <c r="B298" s="34"/>
      <c r="C298" s="4" t="s">
        <v>1323</v>
      </c>
      <c r="D298" s="1516"/>
      <c r="E298" s="1249"/>
      <c r="F298" s="1390"/>
      <c r="G298" s="1492"/>
      <c r="H298" s="823"/>
      <c r="I298" s="52" t="s">
        <v>1322</v>
      </c>
      <c r="J298" s="111"/>
      <c r="K298" s="823"/>
      <c r="L298" s="108"/>
      <c r="M298" s="201"/>
      <c r="N298" s="196"/>
      <c r="O298" s="69"/>
      <c r="P298" s="69"/>
      <c r="AH298" s="11">
        <v>0</v>
      </c>
    </row>
    <row r="299" spans="1:34" s="11" customFormat="1" ht="0.75" hidden="1" customHeight="1">
      <c r="A299" s="34"/>
      <c r="B299" s="34"/>
      <c r="C299" s="4" t="s">
        <v>1330</v>
      </c>
      <c r="D299" s="1516"/>
      <c r="E299" s="1249"/>
      <c r="F299" s="1390"/>
      <c r="G299" s="227"/>
      <c r="H299" s="823"/>
      <c r="I299" s="52"/>
      <c r="J299" s="111"/>
      <c r="K299" s="823"/>
      <c r="L299" s="108"/>
      <c r="M299" s="201"/>
      <c r="N299" s="196"/>
      <c r="O299" s="69"/>
      <c r="P299" s="69"/>
      <c r="AH299" s="11">
        <v>0</v>
      </c>
    </row>
    <row r="300" spans="1:34" s="11" customFormat="1" ht="18.75" hidden="1" customHeight="1">
      <c r="A300" s="34" t="s">
        <v>236</v>
      </c>
      <c r="B300" s="34" t="s">
        <v>237</v>
      </c>
      <c r="C300" s="4"/>
      <c r="D300" s="1516"/>
      <c r="E300" s="1249"/>
      <c r="F300" s="1390" t="str">
        <f>INDEX(PT_DIFFERENTIATION_VTAR,MATCH(A300,PT_DIFFERENTIATION_VTAR_ID,0))</f>
        <v>Тариф на техническую воду</v>
      </c>
      <c r="G300" s="1492" t="str">
        <f>INDEX(PT_DIFFERENTIATION_NTAR,MATCH(B300,PT_DIFFERENTIATION_NTAR_ID,0))</f>
        <v/>
      </c>
      <c r="H300" s="763"/>
      <c r="I300" s="948"/>
      <c r="J300" s="974"/>
      <c r="K300" s="366"/>
      <c r="L300" s="763" t="s">
        <v>312</v>
      </c>
      <c r="M300" s="201"/>
      <c r="N300" s="196"/>
      <c r="O300" s="69"/>
      <c r="P300" s="69"/>
      <c r="AH300" s="11">
        <v>0</v>
      </c>
    </row>
    <row r="301" spans="1:34" s="11" customFormat="1" ht="18.75" hidden="1" customHeight="1">
      <c r="A301" s="34"/>
      <c r="B301" s="34"/>
      <c r="C301" s="4" t="s">
        <v>1323</v>
      </c>
      <c r="D301" s="1516"/>
      <c r="E301" s="1249"/>
      <c r="F301" s="1390"/>
      <c r="G301" s="1492"/>
      <c r="H301" s="823"/>
      <c r="I301" s="52" t="s">
        <v>1322</v>
      </c>
      <c r="J301" s="111"/>
      <c r="K301" s="823"/>
      <c r="L301" s="108"/>
      <c r="M301" s="201"/>
      <c r="N301" s="196"/>
      <c r="O301" s="69"/>
      <c r="P301" s="69"/>
      <c r="AH301" s="11">
        <v>0</v>
      </c>
    </row>
    <row r="302" spans="1:34" s="11" customFormat="1" ht="0.75" hidden="1" customHeight="1">
      <c r="A302" s="34"/>
      <c r="B302" s="34"/>
      <c r="C302" s="4" t="s">
        <v>1330</v>
      </c>
      <c r="D302" s="1516"/>
      <c r="E302" s="1249"/>
      <c r="F302" s="1390"/>
      <c r="G302" s="227"/>
      <c r="H302" s="823"/>
      <c r="I302" s="52"/>
      <c r="J302" s="111"/>
      <c r="K302" s="823"/>
      <c r="L302" s="108"/>
      <c r="M302" s="201"/>
      <c r="N302" s="196"/>
      <c r="O302" s="69"/>
      <c r="P302" s="69"/>
      <c r="AH302" s="11">
        <v>0</v>
      </c>
    </row>
    <row r="303" spans="1:34" s="11" customFormat="1" ht="18.75" hidden="1" customHeight="1">
      <c r="A303" s="34" t="s">
        <v>241</v>
      </c>
      <c r="B303" s="34" t="s">
        <v>242</v>
      </c>
      <c r="C303" s="4"/>
      <c r="D303" s="1516"/>
      <c r="E303" s="1249"/>
      <c r="F303" s="1390" t="str">
        <f>INDEX(PT_DIFFERENTIATION_VTAR,MATCH(A303,PT_DIFFERENTIATION_VTAR_ID,0))</f>
        <v>Тариф на транспортировку воды</v>
      </c>
      <c r="G303" s="1492" t="str">
        <f>INDEX(PT_DIFFERENTIATION_NTAR,MATCH(B303,PT_DIFFERENTIATION_NTAR_ID,0))</f>
        <v/>
      </c>
      <c r="H303" s="763"/>
      <c r="I303" s="948"/>
      <c r="J303" s="974"/>
      <c r="K303" s="366"/>
      <c r="L303" s="763" t="s">
        <v>312</v>
      </c>
      <c r="M303" s="201"/>
      <c r="N303" s="196"/>
      <c r="O303" s="69"/>
      <c r="P303" s="69"/>
      <c r="AH303" s="11">
        <v>0</v>
      </c>
    </row>
    <row r="304" spans="1:34" s="11" customFormat="1" ht="18.75" hidden="1" customHeight="1">
      <c r="A304" s="34"/>
      <c r="B304" s="34"/>
      <c r="C304" s="4" t="s">
        <v>1323</v>
      </c>
      <c r="D304" s="1516"/>
      <c r="E304" s="1249"/>
      <c r="F304" s="1390"/>
      <c r="G304" s="1492"/>
      <c r="H304" s="823"/>
      <c r="I304" s="52" t="s">
        <v>1322</v>
      </c>
      <c r="J304" s="111"/>
      <c r="K304" s="823"/>
      <c r="L304" s="108"/>
      <c r="M304" s="201"/>
      <c r="N304" s="196"/>
      <c r="O304" s="69"/>
      <c r="P304" s="69"/>
      <c r="AH304" s="11">
        <v>0</v>
      </c>
    </row>
    <row r="305" spans="1:34" s="11" customFormat="1" ht="0.75" hidden="1" customHeight="1">
      <c r="A305" s="34"/>
      <c r="B305" s="34"/>
      <c r="C305" s="4" t="s">
        <v>1330</v>
      </c>
      <c r="D305" s="1516"/>
      <c r="E305" s="1249"/>
      <c r="F305" s="1390"/>
      <c r="G305" s="227"/>
      <c r="H305" s="823"/>
      <c r="I305" s="52"/>
      <c r="J305" s="111"/>
      <c r="K305" s="823"/>
      <c r="L305" s="108"/>
      <c r="M305" s="201"/>
      <c r="N305" s="196"/>
      <c r="O305" s="69"/>
      <c r="P305" s="69"/>
      <c r="AH305" s="11">
        <v>0</v>
      </c>
    </row>
    <row r="306" spans="1:34" s="11" customFormat="1" ht="18.75" hidden="1" customHeight="1">
      <c r="A306" s="34" t="s">
        <v>246</v>
      </c>
      <c r="B306" s="34" t="s">
        <v>247</v>
      </c>
      <c r="C306" s="4"/>
      <c r="D306" s="1516"/>
      <c r="E306" s="1249"/>
      <c r="F306" s="1390" t="str">
        <f>INDEX(PT_DIFFERENTIATION_VTAR,MATCH(A306,PT_DIFFERENTIATION_VTAR_ID,0))</f>
        <v>Тариф на подвоз воды</v>
      </c>
      <c r="G306" s="1492" t="str">
        <f>INDEX(PT_DIFFERENTIATION_NTAR,MATCH(B306,PT_DIFFERENTIATION_NTAR_ID,0))</f>
        <v/>
      </c>
      <c r="H306" s="763"/>
      <c r="I306" s="948"/>
      <c r="J306" s="974"/>
      <c r="K306" s="366"/>
      <c r="L306" s="763" t="s">
        <v>312</v>
      </c>
      <c r="M306" s="201"/>
      <c r="N306" s="196"/>
      <c r="O306" s="69"/>
      <c r="P306" s="69"/>
      <c r="AH306" s="11">
        <v>0</v>
      </c>
    </row>
    <row r="307" spans="1:34" s="11" customFormat="1" ht="18.75" hidden="1" customHeight="1">
      <c r="A307" s="34"/>
      <c r="B307" s="34"/>
      <c r="C307" s="4" t="s">
        <v>1323</v>
      </c>
      <c r="D307" s="1516"/>
      <c r="E307" s="1249"/>
      <c r="F307" s="1390"/>
      <c r="G307" s="1492"/>
      <c r="H307" s="823"/>
      <c r="I307" s="52" t="s">
        <v>1322</v>
      </c>
      <c r="J307" s="111"/>
      <c r="K307" s="823"/>
      <c r="L307" s="108"/>
      <c r="M307" s="201"/>
      <c r="N307" s="196"/>
      <c r="O307" s="69"/>
      <c r="P307" s="69"/>
      <c r="AH307" s="11">
        <v>0</v>
      </c>
    </row>
    <row r="308" spans="1:34" s="11" customFormat="1" ht="0.75" hidden="1" customHeight="1">
      <c r="A308" s="34"/>
      <c r="B308" s="34"/>
      <c r="C308" s="4" t="s">
        <v>1330</v>
      </c>
      <c r="D308" s="1516"/>
      <c r="E308" s="1249"/>
      <c r="F308" s="1390"/>
      <c r="G308" s="227"/>
      <c r="H308" s="823"/>
      <c r="I308" s="52"/>
      <c r="J308" s="111"/>
      <c r="K308" s="823"/>
      <c r="L308" s="108"/>
      <c r="M308" s="201"/>
      <c r="N308" s="196"/>
      <c r="O308" s="69"/>
      <c r="P308" s="69"/>
      <c r="AH308" s="11">
        <v>0</v>
      </c>
    </row>
    <row r="309" spans="1:34" s="11" customFormat="1" ht="18.75" hidden="1" customHeight="1">
      <c r="A309" s="34" t="s">
        <v>251</v>
      </c>
      <c r="B309" s="34" t="s">
        <v>252</v>
      </c>
      <c r="C309" s="4"/>
      <c r="D309" s="1516"/>
      <c r="E309" s="1249"/>
      <c r="F309" s="139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92" t="str">
        <f>INDEX(PT_DIFFERENTIATION_NTAR,MATCH(B309,PT_DIFFERENTIATION_NTAR_ID,0))</f>
        <v/>
      </c>
      <c r="H309" s="763"/>
      <c r="I309" s="948"/>
      <c r="J309" s="974"/>
      <c r="K309" s="366"/>
      <c r="L309" s="763" t="s">
        <v>312</v>
      </c>
      <c r="M309" s="201"/>
      <c r="N309" s="196"/>
      <c r="O309" s="69"/>
      <c r="P309" s="69"/>
      <c r="AH309" s="11">
        <v>0</v>
      </c>
    </row>
    <row r="310" spans="1:34" s="11" customFormat="1" ht="18.75" hidden="1" customHeight="1">
      <c r="A310" s="34"/>
      <c r="B310" s="34"/>
      <c r="C310" s="4" t="s">
        <v>1323</v>
      </c>
      <c r="D310" s="1516"/>
      <c r="E310" s="1249"/>
      <c r="F310" s="1390"/>
      <c r="G310" s="1492"/>
      <c r="H310" s="823"/>
      <c r="I310" s="52" t="s">
        <v>1322</v>
      </c>
      <c r="J310" s="111"/>
      <c r="K310" s="823"/>
      <c r="L310" s="108"/>
      <c r="M310" s="201"/>
      <c r="N310" s="196"/>
      <c r="O310" s="69"/>
      <c r="P310" s="69"/>
      <c r="AH310" s="11">
        <v>0</v>
      </c>
    </row>
    <row r="311" spans="1:34" s="11" customFormat="1" ht="0.75" hidden="1" customHeight="1">
      <c r="A311" s="34"/>
      <c r="B311" s="34"/>
      <c r="C311" s="4" t="s">
        <v>1330</v>
      </c>
      <c r="D311" s="1516"/>
      <c r="E311" s="1249"/>
      <c r="F311" s="1390"/>
      <c r="G311" s="227"/>
      <c r="H311" s="823"/>
      <c r="I311" s="52"/>
      <c r="J311" s="111"/>
      <c r="K311" s="823"/>
      <c r="L311" s="108"/>
      <c r="M311" s="201"/>
      <c r="N311" s="196"/>
      <c r="O311" s="69"/>
      <c r="P311" s="69"/>
      <c r="AH311" s="11">
        <v>0</v>
      </c>
    </row>
    <row r="312" spans="1:34" s="11" customFormat="1" ht="18.75" hidden="1" customHeight="1">
      <c r="A312" s="34" t="s">
        <v>256</v>
      </c>
      <c r="B312" s="34" t="s">
        <v>257</v>
      </c>
      <c r="C312" s="4"/>
      <c r="D312" s="1516"/>
      <c r="E312" s="1249"/>
      <c r="F312" s="1390" t="str">
        <f>INDEX(PT_DIFFERENTIATION_VTAR,MATCH(A312,PT_DIFFERENTIATION_VTAR_ID,0))</f>
        <v>Тариф на горячую воду (горячее водоснабжение)</v>
      </c>
      <c r="G312" s="1492" t="str">
        <f>INDEX(PT_DIFFERENTIATION_NTAR,MATCH(B312,PT_DIFFERENTIATION_NTAR_ID,0))</f>
        <v/>
      </c>
      <c r="H312" s="763"/>
      <c r="I312" s="948"/>
      <c r="J312" s="974"/>
      <c r="K312" s="366"/>
      <c r="L312" s="763" t="s">
        <v>312</v>
      </c>
      <c r="M312" s="201"/>
      <c r="N312" s="196"/>
      <c r="O312" s="69"/>
      <c r="P312" s="69"/>
      <c r="AH312" s="11">
        <v>0</v>
      </c>
    </row>
    <row r="313" spans="1:34" s="11" customFormat="1" ht="18.75" hidden="1" customHeight="1">
      <c r="A313" s="34"/>
      <c r="B313" s="34"/>
      <c r="C313" s="4" t="s">
        <v>1323</v>
      </c>
      <c r="D313" s="1516"/>
      <c r="E313" s="1249"/>
      <c r="F313" s="1390"/>
      <c r="G313" s="1492"/>
      <c r="H313" s="823"/>
      <c r="I313" s="52" t="s">
        <v>1322</v>
      </c>
      <c r="J313" s="111"/>
      <c r="K313" s="823"/>
      <c r="L313" s="108"/>
      <c r="M313" s="201"/>
      <c r="N313" s="196"/>
      <c r="O313" s="69"/>
      <c r="P313" s="69"/>
      <c r="AH313" s="11">
        <v>0</v>
      </c>
    </row>
    <row r="314" spans="1:34" s="11" customFormat="1" ht="0.75" hidden="1" customHeight="1">
      <c r="A314" s="34"/>
      <c r="B314" s="34"/>
      <c r="C314" s="4" t="s">
        <v>1330</v>
      </c>
      <c r="D314" s="1516"/>
      <c r="E314" s="1249"/>
      <c r="F314" s="1390"/>
      <c r="G314" s="227"/>
      <c r="H314" s="823"/>
      <c r="I314" s="52"/>
      <c r="J314" s="111"/>
      <c r="K314" s="823"/>
      <c r="L314" s="108"/>
      <c r="M314" s="201"/>
      <c r="N314" s="196"/>
      <c r="O314" s="69"/>
      <c r="P314" s="69"/>
      <c r="AH314" s="11">
        <v>0</v>
      </c>
    </row>
    <row r="315" spans="1:34" s="11" customFormat="1" ht="18.75" hidden="1" customHeight="1">
      <c r="A315" s="34" t="s">
        <v>261</v>
      </c>
      <c r="B315" s="34" t="s">
        <v>262</v>
      </c>
      <c r="C315" s="4"/>
      <c r="D315" s="1516"/>
      <c r="E315" s="1249"/>
      <c r="F315" s="1390" t="str">
        <f>INDEX(PT_DIFFERENTIATION_VTAR,MATCH(A315,PT_DIFFERENTIATION_VTAR_ID,0))</f>
        <v>Тариф на транспортировку горячей воды</v>
      </c>
      <c r="G315" s="1492" t="str">
        <f>INDEX(PT_DIFFERENTIATION_NTAR,MATCH(B315,PT_DIFFERENTIATION_NTAR_ID,0))</f>
        <v/>
      </c>
      <c r="H315" s="763"/>
      <c r="I315" s="948"/>
      <c r="J315" s="974"/>
      <c r="K315" s="366"/>
      <c r="L315" s="763" t="s">
        <v>312</v>
      </c>
      <c r="M315" s="201"/>
      <c r="N315" s="196"/>
      <c r="O315" s="69"/>
      <c r="P315" s="69"/>
      <c r="AH315" s="11">
        <v>0</v>
      </c>
    </row>
    <row r="316" spans="1:34" s="11" customFormat="1" ht="18.75" hidden="1" customHeight="1">
      <c r="A316" s="34"/>
      <c r="B316" s="34"/>
      <c r="C316" s="4" t="s">
        <v>1323</v>
      </c>
      <c r="D316" s="1516"/>
      <c r="E316" s="1249"/>
      <c r="F316" s="1390"/>
      <c r="G316" s="1492"/>
      <c r="H316" s="823"/>
      <c r="I316" s="52" t="s">
        <v>1322</v>
      </c>
      <c r="J316" s="111"/>
      <c r="K316" s="823"/>
      <c r="L316" s="108"/>
      <c r="M316" s="201"/>
      <c r="N316" s="196"/>
      <c r="O316" s="69"/>
      <c r="P316" s="69"/>
      <c r="AH316" s="11">
        <v>0</v>
      </c>
    </row>
    <row r="317" spans="1:34" s="11" customFormat="1" ht="0.75" hidden="1" customHeight="1">
      <c r="A317" s="34"/>
      <c r="B317" s="34"/>
      <c r="C317" s="4" t="s">
        <v>1330</v>
      </c>
      <c r="D317" s="1516"/>
      <c r="E317" s="1249"/>
      <c r="F317" s="1390"/>
      <c r="G317" s="227"/>
      <c r="H317" s="823"/>
      <c r="I317" s="52"/>
      <c r="J317" s="111"/>
      <c r="K317" s="823"/>
      <c r="L317" s="108"/>
      <c r="M317" s="201"/>
      <c r="N317" s="196"/>
      <c r="O317" s="69"/>
      <c r="P317" s="69"/>
      <c r="AH317" s="11">
        <v>0</v>
      </c>
    </row>
    <row r="318" spans="1:34" s="11" customFormat="1" ht="18.75" hidden="1" customHeight="1">
      <c r="A318" s="34" t="s">
        <v>266</v>
      </c>
      <c r="B318" s="34" t="s">
        <v>267</v>
      </c>
      <c r="C318" s="4"/>
      <c r="D318" s="1516"/>
      <c r="E318" s="1249"/>
      <c r="F318" s="1390"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92" t="str">
        <f>INDEX(PT_DIFFERENTIATION_NTAR,MATCH(B318,PT_DIFFERENTIATION_NTAR_ID,0))</f>
        <v/>
      </c>
      <c r="H318" s="763"/>
      <c r="I318" s="948"/>
      <c r="J318" s="974"/>
      <c r="K318" s="366"/>
      <c r="L318" s="763" t="s">
        <v>312</v>
      </c>
      <c r="M318" s="201"/>
      <c r="N318" s="196"/>
      <c r="O318" s="69"/>
      <c r="P318" s="69"/>
      <c r="AH318" s="11">
        <v>0</v>
      </c>
    </row>
    <row r="319" spans="1:34" s="11" customFormat="1" ht="18.75" hidden="1" customHeight="1">
      <c r="A319" s="34"/>
      <c r="B319" s="34"/>
      <c r="C319" s="4" t="s">
        <v>1323</v>
      </c>
      <c r="D319" s="1516"/>
      <c r="E319" s="1249"/>
      <c r="F319" s="1390"/>
      <c r="G319" s="1492"/>
      <c r="H319" s="823"/>
      <c r="I319" s="52" t="s">
        <v>1322</v>
      </c>
      <c r="J319" s="111"/>
      <c r="K319" s="823"/>
      <c r="L319" s="108"/>
      <c r="M319" s="201"/>
      <c r="N319" s="196"/>
      <c r="O319" s="69"/>
      <c r="P319" s="69"/>
      <c r="AH319" s="11">
        <v>0</v>
      </c>
    </row>
    <row r="320" spans="1:34" s="11" customFormat="1" ht="0.75" hidden="1" customHeight="1">
      <c r="A320" s="34"/>
      <c r="B320" s="34"/>
      <c r="C320" s="4" t="s">
        <v>1330</v>
      </c>
      <c r="D320" s="1516"/>
      <c r="E320" s="1249"/>
      <c r="F320" s="1390"/>
      <c r="G320" s="227"/>
      <c r="H320" s="823"/>
      <c r="I320" s="52"/>
      <c r="J320" s="111"/>
      <c r="K320" s="823"/>
      <c r="L320" s="108"/>
      <c r="M320" s="201"/>
      <c r="N320" s="196"/>
      <c r="O320" s="69"/>
      <c r="P320" s="69"/>
      <c r="AH320" s="11">
        <v>0</v>
      </c>
    </row>
    <row r="321" spans="1:34" s="11" customFormat="1" ht="18.75" hidden="1" customHeight="1">
      <c r="A321" s="34" t="s">
        <v>271</v>
      </c>
      <c r="B321" s="34" t="s">
        <v>272</v>
      </c>
      <c r="C321" s="4"/>
      <c r="D321" s="1516"/>
      <c r="E321" s="1249"/>
      <c r="F321" s="1390" t="str">
        <f>INDEX(PT_DIFFERENTIATION_VTAR,MATCH(A321,PT_DIFFERENTIATION_VTAR_ID,0))</f>
        <v>Тариф на водоотведение</v>
      </c>
      <c r="G321" s="1492" t="str">
        <f>INDEX(PT_DIFFERENTIATION_NTAR,MATCH(B321,PT_DIFFERENTIATION_NTAR_ID,0))</f>
        <v/>
      </c>
      <c r="H321" s="763"/>
      <c r="I321" s="948"/>
      <c r="J321" s="974"/>
      <c r="K321" s="366"/>
      <c r="L321" s="763" t="s">
        <v>312</v>
      </c>
      <c r="M321" s="201"/>
      <c r="N321" s="196"/>
      <c r="O321" s="69"/>
      <c r="P321" s="69"/>
      <c r="AH321" s="11">
        <v>0</v>
      </c>
    </row>
    <row r="322" spans="1:34" s="11" customFormat="1" ht="18.75" hidden="1" customHeight="1">
      <c r="A322" s="34"/>
      <c r="B322" s="34"/>
      <c r="C322" s="4" t="s">
        <v>1323</v>
      </c>
      <c r="D322" s="1516"/>
      <c r="E322" s="1249"/>
      <c r="F322" s="1390"/>
      <c r="G322" s="1492"/>
      <c r="H322" s="823"/>
      <c r="I322" s="52" t="s">
        <v>1322</v>
      </c>
      <c r="J322" s="111"/>
      <c r="K322" s="823"/>
      <c r="L322" s="108"/>
      <c r="M322" s="201"/>
      <c r="N322" s="196"/>
      <c r="O322" s="69"/>
      <c r="P322" s="69"/>
      <c r="AH322" s="11">
        <v>0</v>
      </c>
    </row>
    <row r="323" spans="1:34" s="11" customFormat="1" ht="0.75" hidden="1" customHeight="1">
      <c r="A323" s="34"/>
      <c r="B323" s="34"/>
      <c r="C323" s="4" t="s">
        <v>1330</v>
      </c>
      <c r="D323" s="1516"/>
      <c r="E323" s="1249"/>
      <c r="F323" s="1390"/>
      <c r="G323" s="227"/>
      <c r="H323" s="823"/>
      <c r="I323" s="52"/>
      <c r="J323" s="111"/>
      <c r="K323" s="823"/>
      <c r="L323" s="108"/>
      <c r="M323" s="201"/>
      <c r="N323" s="196"/>
      <c r="O323" s="69"/>
      <c r="P323" s="69"/>
      <c r="AH323" s="11">
        <v>0</v>
      </c>
    </row>
    <row r="324" spans="1:34" s="11" customFormat="1" ht="18.75" hidden="1" customHeight="1">
      <c r="A324" s="34" t="s">
        <v>276</v>
      </c>
      <c r="B324" s="34" t="s">
        <v>277</v>
      </c>
      <c r="C324" s="4"/>
      <c r="D324" s="1516"/>
      <c r="E324" s="1249"/>
      <c r="F324" s="1390" t="str">
        <f>INDEX(PT_DIFFERENTIATION_VTAR,MATCH(A324,PT_DIFFERENTIATION_VTAR_ID,0))</f>
        <v>Тариф на транспортировку сточных вод</v>
      </c>
      <c r="G324" s="1492" t="str">
        <f>INDEX(PT_DIFFERENTIATION_NTAR,MATCH(B324,PT_DIFFERENTIATION_NTAR_ID,0))</f>
        <v/>
      </c>
      <c r="H324" s="763"/>
      <c r="I324" s="948"/>
      <c r="J324" s="974"/>
      <c r="K324" s="366"/>
      <c r="L324" s="763" t="s">
        <v>312</v>
      </c>
      <c r="M324" s="201"/>
      <c r="N324" s="196"/>
      <c r="O324" s="69"/>
      <c r="P324" s="69"/>
      <c r="AH324" s="11">
        <v>0</v>
      </c>
    </row>
    <row r="325" spans="1:34" s="11" customFormat="1" ht="18.75" hidden="1" customHeight="1">
      <c r="A325" s="34"/>
      <c r="B325" s="34"/>
      <c r="C325" s="4" t="s">
        <v>1323</v>
      </c>
      <c r="D325" s="1516"/>
      <c r="E325" s="1249"/>
      <c r="F325" s="1390"/>
      <c r="G325" s="1492"/>
      <c r="H325" s="823"/>
      <c r="I325" s="52" t="s">
        <v>1322</v>
      </c>
      <c r="J325" s="111"/>
      <c r="K325" s="823"/>
      <c r="L325" s="108"/>
      <c r="M325" s="201"/>
      <c r="N325" s="196"/>
      <c r="O325" s="69"/>
      <c r="P325" s="69"/>
      <c r="AH325" s="11">
        <v>0</v>
      </c>
    </row>
    <row r="326" spans="1:34" s="11" customFormat="1" ht="0.75" hidden="1" customHeight="1">
      <c r="A326" s="34"/>
      <c r="B326" s="34"/>
      <c r="C326" s="4" t="s">
        <v>1330</v>
      </c>
      <c r="D326" s="1516"/>
      <c r="E326" s="1249"/>
      <c r="F326" s="1390"/>
      <c r="G326" s="227"/>
      <c r="H326" s="823"/>
      <c r="I326" s="52"/>
      <c r="J326" s="111"/>
      <c r="K326" s="823"/>
      <c r="L326" s="108"/>
      <c r="M326" s="201"/>
      <c r="N326" s="196"/>
      <c r="O326" s="69"/>
      <c r="P326" s="69"/>
      <c r="AH326" s="11">
        <v>0</v>
      </c>
    </row>
    <row r="327" spans="1:34" s="11" customFormat="1" ht="18.75" hidden="1" customHeight="1">
      <c r="A327" s="34" t="s">
        <v>281</v>
      </c>
      <c r="B327" s="34" t="s">
        <v>282</v>
      </c>
      <c r="C327" s="4"/>
      <c r="D327" s="1516"/>
      <c r="E327" s="1249"/>
      <c r="F327" s="1390" t="str">
        <f>INDEX(PT_DIFFERENTIATION_VTAR,MATCH(A327,PT_DIFFERENTIATION_VTAR_ID,0))</f>
        <v>Тариф на подключение (технологическое присоединение) к централизованной системе водоотведения</v>
      </c>
      <c r="G327" s="1492" t="str">
        <f>INDEX(PT_DIFFERENTIATION_NTAR,MATCH(B327,PT_DIFFERENTIATION_NTAR_ID,0))</f>
        <v/>
      </c>
      <c r="H327" s="763"/>
      <c r="I327" s="948"/>
      <c r="J327" s="974"/>
      <c r="K327" s="366"/>
      <c r="L327" s="763" t="s">
        <v>312</v>
      </c>
      <c r="M327" s="201"/>
      <c r="N327" s="196"/>
      <c r="O327" s="69"/>
      <c r="P327" s="69"/>
      <c r="AH327" s="11">
        <v>0</v>
      </c>
    </row>
    <row r="328" spans="1:34" s="11" customFormat="1" ht="18.75" hidden="1" customHeight="1">
      <c r="A328" s="34"/>
      <c r="B328" s="34"/>
      <c r="C328" s="4" t="s">
        <v>1323</v>
      </c>
      <c r="D328" s="1516"/>
      <c r="E328" s="1249"/>
      <c r="F328" s="1390"/>
      <c r="G328" s="1492"/>
      <c r="H328" s="823"/>
      <c r="I328" s="52" t="s">
        <v>1322</v>
      </c>
      <c r="J328" s="111"/>
      <c r="K328" s="823"/>
      <c r="L328" s="108"/>
      <c r="M328" s="201"/>
      <c r="N328" s="196"/>
      <c r="O328" s="69"/>
      <c r="P328" s="69"/>
      <c r="AH328" s="11">
        <v>0</v>
      </c>
    </row>
    <row r="329" spans="1:34" s="11" customFormat="1" ht="1.1499999999999999" customHeight="1">
      <c r="A329" s="34"/>
      <c r="B329" s="34"/>
      <c r="C329" s="4" t="s">
        <v>1330</v>
      </c>
      <c r="D329" s="1516"/>
      <c r="E329" s="1249"/>
      <c r="F329" s="1390"/>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92"/>
      <c r="G331" s="1292"/>
      <c r="H331" s="1292"/>
      <c r="I331" s="1292"/>
      <c r="J331" s="1292"/>
      <c r="K331" s="1292"/>
      <c r="L331" s="1292"/>
      <c r="M331" s="1292"/>
      <c r="AH331" s="11">
        <v>25</v>
      </c>
    </row>
    <row r="332" spans="1:34" ht="14.25" hidden="1" customHeight="1">
      <c r="A332" s="917" t="s">
        <v>82</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122</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1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216"/>
      <c r="F5" s="1216"/>
      <c r="G5" s="1217"/>
      <c r="H5" s="156"/>
      <c r="R5" s="11">
        <v>33</v>
      </c>
    </row>
    <row r="6" spans="1:18" s="11" customFormat="1" ht="18" customHeight="1">
      <c r="A6" s="33"/>
      <c r="B6" s="63"/>
      <c r="C6" s="28"/>
      <c r="D6" s="1268" t="str">
        <f>IF(org=0,"Не определено",org)</f>
        <v>Сургутское городское муниципальное унитарное предприятие "Горводоканал"</v>
      </c>
      <c r="E6" s="1269"/>
      <c r="F6" s="1269"/>
      <c r="G6" s="1270"/>
      <c r="H6" s="156"/>
      <c r="J6" s="69"/>
      <c r="K6" s="69"/>
      <c r="R6" s="11">
        <v>17</v>
      </c>
    </row>
    <row r="7" spans="1:18" ht="14.65" customHeight="1">
      <c r="C7" s="28"/>
      <c r="D7" s="10"/>
      <c r="E7" s="14"/>
      <c r="F7" s="14"/>
      <c r="G7" s="435"/>
      <c r="H7" s="101"/>
      <c r="R7" s="11">
        <v>14</v>
      </c>
    </row>
    <row r="8" spans="1:18" ht="14.65" customHeight="1">
      <c r="C8" s="28"/>
      <c r="D8" s="1254" t="s">
        <v>306</v>
      </c>
      <c r="E8" s="1254"/>
      <c r="F8" s="1254"/>
      <c r="G8" s="1254"/>
      <c r="H8" s="1403" t="s">
        <v>307</v>
      </c>
      <c r="R8" s="11">
        <v>14</v>
      </c>
    </row>
    <row r="9" spans="1:18" ht="24" customHeight="1">
      <c r="C9" s="28"/>
      <c r="D9" s="36" t="s">
        <v>88</v>
      </c>
      <c r="E9" s="39" t="s">
        <v>308</v>
      </c>
      <c r="F9" s="39" t="s">
        <v>309</v>
      </c>
      <c r="G9" s="39" t="s">
        <v>396</v>
      </c>
      <c r="H9" s="1403"/>
      <c r="R9" s="11">
        <v>23</v>
      </c>
    </row>
    <row r="10" spans="1:18" ht="14.65" customHeight="1">
      <c r="A10" s="34"/>
      <c r="C10" s="28"/>
      <c r="D10" s="64" t="s">
        <v>109</v>
      </c>
      <c r="E10" s="101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1"/>
      <c r="G10" s="117"/>
      <c r="H10" s="1209" t="s">
        <v>1331</v>
      </c>
      <c r="R10" s="11">
        <v>14</v>
      </c>
    </row>
    <row r="11" spans="1:18" ht="14.65" customHeight="1">
      <c r="A11" s="34"/>
      <c r="C11" s="28"/>
      <c r="D11" s="64" t="s">
        <v>110</v>
      </c>
      <c r="E11" s="101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1"/>
      <c r="G11" s="117"/>
      <c r="H11" s="1210"/>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c r="G12" s="117"/>
      <c r="H12" s="12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210"/>
      <c r="I13" s="69"/>
      <c r="K13" s="11"/>
      <c r="R13" s="11">
        <v>14</v>
      </c>
    </row>
    <row r="14" spans="1:18" ht="14.65" customHeight="1">
      <c r="A14" s="34"/>
      <c r="C14" s="28"/>
      <c r="D14" s="40"/>
      <c r="E14" s="52" t="s">
        <v>328</v>
      </c>
      <c r="F14" s="111"/>
      <c r="G14" s="108"/>
      <c r="H14" s="1211"/>
      <c r="R14" s="11">
        <v>14</v>
      </c>
    </row>
    <row r="15" spans="1:18" s="11" customFormat="1" ht="14.65" customHeight="1">
      <c r="A15" s="34"/>
      <c r="B15" s="63"/>
      <c r="C15" s="28"/>
      <c r="D15" s="225"/>
      <c r="E15" s="902"/>
      <c r="F15" s="903"/>
      <c r="G15" s="904"/>
      <c r="H15" s="905"/>
      <c r="J15" s="69"/>
      <c r="K15" s="69"/>
      <c r="R15" s="11">
        <v>14</v>
      </c>
    </row>
    <row r="16" spans="1:18" ht="14.65" customHeight="1">
      <c r="D16" s="198"/>
      <c r="E16" s="1292"/>
      <c r="F16" s="1292"/>
      <c r="G16" s="1292"/>
      <c r="H16" s="1292"/>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216"/>
      <c r="F5" s="1216"/>
      <c r="G5" s="1216"/>
      <c r="H5" s="1216"/>
      <c r="I5" s="1216"/>
      <c r="J5" s="1217"/>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21" t="str">
        <f>IF(org=0,"Не определено",org)</f>
        <v>Сургутское городское муниципальное унитарное предприятие "Горводоканал"</v>
      </c>
      <c r="E6" s="1221"/>
      <c r="F6" s="1221"/>
      <c r="G6" s="1221"/>
      <c r="H6" s="1221"/>
      <c r="I6" s="1221"/>
      <c r="J6" s="1221"/>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18"/>
      <c r="E7" s="1219"/>
      <c r="F7" s="1219"/>
      <c r="G7" s="1219"/>
      <c r="H7" s="1219"/>
      <c r="I7" s="1219"/>
      <c r="J7" s="1220"/>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59" t="s">
        <v>88</v>
      </c>
      <c r="E9" s="1123" t="s">
        <v>130</v>
      </c>
      <c r="F9" s="1"/>
      <c r="G9" s="1159" t="s">
        <v>105</v>
      </c>
      <c r="H9" s="1159" t="s">
        <v>88</v>
      </c>
      <c r="I9" s="1159"/>
      <c r="J9" s="1159" t="s">
        <v>131</v>
      </c>
      <c r="K9" s="1222" t="s">
        <v>132</v>
      </c>
      <c r="L9" s="1222"/>
      <c r="M9" s="1222"/>
      <c r="N9" s="1222"/>
      <c r="O9" s="1222" t="s">
        <v>133</v>
      </c>
      <c r="P9" s="1222"/>
      <c r="Q9" s="1222"/>
      <c r="R9" s="1222"/>
      <c r="S9" s="1222" t="s">
        <v>134</v>
      </c>
      <c r="T9" s="1222"/>
      <c r="U9" s="1222"/>
      <c r="V9" s="1222"/>
      <c r="W9" s="1159" t="s">
        <v>135</v>
      </c>
      <c r="AR9" s="35">
        <v>27</v>
      </c>
    </row>
    <row r="10" spans="1:44" ht="31.5" customHeight="1">
      <c r="D10" s="1159"/>
      <c r="E10" s="41" t="s">
        <v>89</v>
      </c>
      <c r="F10" s="41" t="s">
        <v>136</v>
      </c>
      <c r="G10" s="1159"/>
      <c r="H10" s="1159"/>
      <c r="I10" s="1159"/>
      <c r="J10" s="1159"/>
      <c r="K10" s="41" t="s">
        <v>108</v>
      </c>
      <c r="L10" s="1159" t="s">
        <v>88</v>
      </c>
      <c r="M10" s="1159"/>
      <c r="N10" s="41" t="s">
        <v>137</v>
      </c>
      <c r="O10" s="41" t="s">
        <v>108</v>
      </c>
      <c r="P10" s="1159" t="s">
        <v>88</v>
      </c>
      <c r="Q10" s="1159"/>
      <c r="R10" s="41" t="s">
        <v>137</v>
      </c>
      <c r="S10" s="41" t="s">
        <v>108</v>
      </c>
      <c r="T10" s="1159" t="s">
        <v>88</v>
      </c>
      <c r="U10" s="1159"/>
      <c r="V10" s="41" t="s">
        <v>89</v>
      </c>
      <c r="W10" s="1159"/>
      <c r="Z10" s="17" t="s">
        <v>138</v>
      </c>
      <c r="AA10" s="17" t="s">
        <v>139</v>
      </c>
      <c r="AB10" s="17" t="s">
        <v>140</v>
      </c>
      <c r="AC10" s="17" t="s">
        <v>141</v>
      </c>
      <c r="AD10" s="17" t="s">
        <v>142</v>
      </c>
      <c r="AE10" s="17" t="s">
        <v>143</v>
      </c>
      <c r="AF10" s="17" t="s">
        <v>144</v>
      </c>
      <c r="AG10" s="17" t="s">
        <v>145</v>
      </c>
      <c r="AH10" s="17" t="s">
        <v>146</v>
      </c>
      <c r="AI10" s="17" t="s">
        <v>147</v>
      </c>
      <c r="AJ10" s="17" t="s">
        <v>148</v>
      </c>
      <c r="AK10" s="17" t="s">
        <v>149</v>
      </c>
      <c r="AL10" s="17" t="s">
        <v>150</v>
      </c>
      <c r="AM10" s="17" t="s">
        <v>151</v>
      </c>
      <c r="AN10" s="17" t="s">
        <v>152</v>
      </c>
      <c r="AO10" s="17" t="s">
        <v>153</v>
      </c>
      <c r="AP10" s="17" t="s">
        <v>154</v>
      </c>
      <c r="AQ10" s="17" t="s">
        <v>155</v>
      </c>
      <c r="AR10" s="35">
        <v>30</v>
      </c>
    </row>
    <row r="11" spans="1:44" s="69" customFormat="1" ht="12" customHeight="1">
      <c r="D11" s="724" t="s">
        <v>109</v>
      </c>
      <c r="E11" s="724" t="s">
        <v>110</v>
      </c>
      <c r="F11" s="724"/>
      <c r="G11" s="724" t="s">
        <v>90</v>
      </c>
      <c r="H11" s="1214" t="s">
        <v>111</v>
      </c>
      <c r="I11" s="1214"/>
      <c r="J11" s="724" t="s">
        <v>92</v>
      </c>
      <c r="K11" s="724" t="s">
        <v>93</v>
      </c>
      <c r="L11" s="1214" t="s">
        <v>112</v>
      </c>
      <c r="M11" s="1214"/>
      <c r="N11" s="724" t="s">
        <v>156</v>
      </c>
      <c r="O11" s="724" t="s">
        <v>157</v>
      </c>
      <c r="P11" s="1214" t="s">
        <v>158</v>
      </c>
      <c r="Q11" s="1214"/>
      <c r="R11" s="724" t="s">
        <v>159</v>
      </c>
      <c r="S11" s="724" t="s">
        <v>158</v>
      </c>
      <c r="T11" s="1214" t="s">
        <v>159</v>
      </c>
      <c r="U11" s="1214"/>
      <c r="V11" s="724" t="s">
        <v>160</v>
      </c>
      <c r="W11" s="724" t="s">
        <v>161</v>
      </c>
      <c r="Y11" s="17"/>
      <c r="Z11" s="17"/>
      <c r="AA11" s="17"/>
      <c r="AB11" s="17"/>
      <c r="AC11" s="17"/>
      <c r="AD11" s="17"/>
      <c r="AE11" s="17"/>
      <c r="AF11" s="17"/>
      <c r="AG11" s="17"/>
      <c r="AH11" s="17"/>
      <c r="AI11" s="17"/>
      <c r="AJ11" s="17"/>
      <c r="AK11" s="17"/>
      <c r="AL11" s="17"/>
      <c r="AM11" s="17"/>
      <c r="AN11" s="17"/>
      <c r="AO11" s="17"/>
      <c r="AP11" s="17"/>
      <c r="AQ11" s="17"/>
      <c r="AR11" s="69">
        <v>0</v>
      </c>
    </row>
    <row r="12" spans="1:44" ht="14.25"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customHeight="1">
      <c r="A13" s="188"/>
      <c r="C13" s="77"/>
      <c r="D13" s="1198">
        <v>1</v>
      </c>
      <c r="E13" s="1187" t="s">
        <v>162</v>
      </c>
      <c r="F13" s="1200" t="s">
        <v>19</v>
      </c>
      <c r="G13" s="1187"/>
      <c r="H13" s="1189"/>
      <c r="I13" s="1191"/>
      <c r="J13" s="1193"/>
      <c r="K13" s="1185"/>
      <c r="L13" s="1185"/>
      <c r="M13" s="1185"/>
      <c r="N13" s="1196"/>
      <c r="O13" s="1185"/>
      <c r="P13" s="1185"/>
      <c r="Q13" s="1185"/>
      <c r="R13" s="1183"/>
      <c r="S13" s="1185"/>
      <c r="T13" s="804"/>
      <c r="U13" s="804"/>
      <c r="V13" s="803"/>
      <c r="W13" s="746"/>
      <c r="Y13" s="731"/>
      <c r="Z13" s="731"/>
      <c r="AA13" s="731"/>
      <c r="AB13" s="731"/>
      <c r="AC13" s="731" t="s">
        <v>163</v>
      </c>
      <c r="AD13" s="731" t="s">
        <v>164</v>
      </c>
      <c r="AE13" s="731" t="s">
        <v>165</v>
      </c>
      <c r="AF13" s="731" t="s">
        <v>166</v>
      </c>
      <c r="AG13" s="731" t="s">
        <v>167</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customHeight="1">
      <c r="A14" s="188"/>
      <c r="D14" s="1198"/>
      <c r="E14" s="1187"/>
      <c r="F14" s="1201"/>
      <c r="G14" s="1187"/>
      <c r="H14" s="1190"/>
      <c r="I14" s="1192"/>
      <c r="J14" s="1194"/>
      <c r="K14" s="1186"/>
      <c r="L14" s="1186"/>
      <c r="M14" s="1186"/>
      <c r="N14" s="1197"/>
      <c r="O14" s="1186"/>
      <c r="P14" s="1186"/>
      <c r="Q14" s="1186"/>
      <c r="R14" s="1184"/>
      <c r="S14" s="1186"/>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customHeight="1">
      <c r="A15" s="188"/>
      <c r="C15" s="77"/>
      <c r="D15" s="1198"/>
      <c r="E15" s="1187"/>
      <c r="F15" s="1201"/>
      <c r="G15" s="1187"/>
      <c r="H15" s="1190"/>
      <c r="I15" s="1192"/>
      <c r="J15" s="1195"/>
      <c r="K15" s="1186"/>
      <c r="L15" s="1186"/>
      <c r="M15" s="1186"/>
      <c r="N15" s="1184"/>
      <c r="O15" s="1186"/>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customHeight="1">
      <c r="A16" s="188"/>
      <c r="D16" s="1198"/>
      <c r="E16" s="1187"/>
      <c r="F16" s="1201"/>
      <c r="G16" s="1187"/>
      <c r="H16" s="1190"/>
      <c r="I16" s="1192"/>
      <c r="J16" s="1195"/>
      <c r="K16" s="1186"/>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customHeight="1">
      <c r="A17" s="188"/>
      <c r="D17" s="1199"/>
      <c r="E17" s="1188"/>
      <c r="F17" s="1202"/>
      <c r="G17" s="1188"/>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customHeight="1">
      <c r="A18" s="188"/>
      <c r="C18" s="77"/>
      <c r="D18" s="1198">
        <v>2</v>
      </c>
      <c r="E18" s="1212"/>
      <c r="F18" s="1200" t="s">
        <v>19</v>
      </c>
      <c r="G18" s="1187"/>
      <c r="H18" s="1189"/>
      <c r="I18" s="1191"/>
      <c r="J18" s="1193"/>
      <c r="K18" s="1185"/>
      <c r="L18" s="1185"/>
      <c r="M18" s="1185"/>
      <c r="N18" s="1196"/>
      <c r="O18" s="1185"/>
      <c r="P18" s="1185"/>
      <c r="Q18" s="1185"/>
      <c r="R18" s="1183"/>
      <c r="S18" s="1185"/>
      <c r="T18" s="804"/>
      <c r="U18" s="804"/>
      <c r="V18" s="803"/>
      <c r="W18" s="746"/>
      <c r="X18" s="731"/>
      <c r="Y18" s="731"/>
      <c r="Z18" s="731"/>
      <c r="AA18" s="731"/>
      <c r="AB18" s="731"/>
      <c r="AC18" s="731" t="s">
        <v>168</v>
      </c>
      <c r="AD18" s="731" t="s">
        <v>169</v>
      </c>
      <c r="AE18" s="731" t="s">
        <v>170</v>
      </c>
      <c r="AF18" s="731" t="s">
        <v>171</v>
      </c>
      <c r="AG18" s="731" t="s">
        <v>172</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customHeight="1">
      <c r="A19" s="188"/>
      <c r="D19" s="1198"/>
      <c r="E19" s="1212"/>
      <c r="F19" s="1201"/>
      <c r="G19" s="1187"/>
      <c r="H19" s="1190"/>
      <c r="I19" s="1192"/>
      <c r="J19" s="1194"/>
      <c r="K19" s="1186"/>
      <c r="L19" s="1186"/>
      <c r="M19" s="1186"/>
      <c r="N19" s="1197"/>
      <c r="O19" s="1186"/>
      <c r="P19" s="1186"/>
      <c r="Q19" s="1186"/>
      <c r="R19" s="1184"/>
      <c r="S19" s="1186"/>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customHeight="1">
      <c r="A20" s="188"/>
      <c r="D20" s="1199"/>
      <c r="E20" s="1213"/>
      <c r="F20" s="1201"/>
      <c r="G20" s="1188"/>
      <c r="H20" s="1190"/>
      <c r="I20" s="1192"/>
      <c r="J20" s="1195"/>
      <c r="K20" s="1186"/>
      <c r="L20" s="1186"/>
      <c r="M20" s="1186"/>
      <c r="N20" s="1184"/>
      <c r="O20" s="1186"/>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customHeight="1">
      <c r="A21" s="188"/>
      <c r="D21" s="1199"/>
      <c r="E21" s="1213"/>
      <c r="F21" s="1201"/>
      <c r="G21" s="1188"/>
      <c r="H21" s="1190"/>
      <c r="I21" s="1192"/>
      <c r="J21" s="1195"/>
      <c r="K21" s="1186"/>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customHeight="1">
      <c r="A22" s="188"/>
      <c r="D22" s="1199"/>
      <c r="E22" s="1213"/>
      <c r="F22" s="1202"/>
      <c r="G22" s="1188"/>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customHeight="1">
      <c r="A23" s="188"/>
      <c r="C23" s="77"/>
      <c r="D23" s="1198">
        <v>2</v>
      </c>
      <c r="E23" s="1187" t="s">
        <v>173</v>
      </c>
      <c r="F23" s="1200" t="s">
        <v>19</v>
      </c>
      <c r="G23" s="1187"/>
      <c r="H23" s="1189"/>
      <c r="I23" s="1191"/>
      <c r="J23" s="1193"/>
      <c r="K23" s="1185"/>
      <c r="L23" s="1185"/>
      <c r="M23" s="1185"/>
      <c r="N23" s="1196"/>
      <c r="O23" s="1185"/>
      <c r="P23" s="1185"/>
      <c r="Q23" s="1185"/>
      <c r="R23" s="1183"/>
      <c r="S23" s="1185"/>
      <c r="T23" s="804"/>
      <c r="U23" s="804"/>
      <c r="V23" s="803"/>
      <c r="W23" s="746"/>
      <c r="X23" s="731"/>
      <c r="Y23" s="731"/>
      <c r="Z23" s="731"/>
      <c r="AA23" s="731"/>
      <c r="AB23" s="731"/>
      <c r="AC23" s="731" t="s">
        <v>168</v>
      </c>
      <c r="AD23" s="731" t="s">
        <v>169</v>
      </c>
      <c r="AE23" s="731" t="s">
        <v>170</v>
      </c>
      <c r="AF23" s="731" t="s">
        <v>171</v>
      </c>
      <c r="AG23" s="731" t="s">
        <v>172</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customHeight="1">
      <c r="A24" s="188"/>
      <c r="D24" s="1198"/>
      <c r="E24" s="1187"/>
      <c r="F24" s="1201"/>
      <c r="G24" s="1187"/>
      <c r="H24" s="1190"/>
      <c r="I24" s="1192"/>
      <c r="J24" s="1194"/>
      <c r="K24" s="1186"/>
      <c r="L24" s="1186"/>
      <c r="M24" s="1186"/>
      <c r="N24" s="1197"/>
      <c r="O24" s="1186"/>
      <c r="P24" s="1186"/>
      <c r="Q24" s="1186"/>
      <c r="R24" s="1184"/>
      <c r="S24" s="1186"/>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customHeight="1">
      <c r="A25" s="188"/>
      <c r="D25" s="1199"/>
      <c r="E25" s="1188"/>
      <c r="F25" s="1201"/>
      <c r="G25" s="1188"/>
      <c r="H25" s="1190"/>
      <c r="I25" s="1192"/>
      <c r="J25" s="1195"/>
      <c r="K25" s="1186"/>
      <c r="L25" s="1186"/>
      <c r="M25" s="1186"/>
      <c r="N25" s="1184"/>
      <c r="O25" s="1186"/>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customHeight="1">
      <c r="A26" s="188"/>
      <c r="D26" s="1199"/>
      <c r="E26" s="1188"/>
      <c r="F26" s="1201"/>
      <c r="G26" s="1188"/>
      <c r="H26" s="1190"/>
      <c r="I26" s="1192"/>
      <c r="J26" s="1195"/>
      <c r="K26" s="1186"/>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customHeight="1">
      <c r="A27" s="188"/>
      <c r="D27" s="1199"/>
      <c r="E27" s="1188"/>
      <c r="F27" s="1202"/>
      <c r="G27" s="1188"/>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customHeight="1">
      <c r="A28" s="188"/>
      <c r="C28" s="77"/>
      <c r="D28" s="1198">
        <v>3</v>
      </c>
      <c r="E28" s="1187" t="s">
        <v>174</v>
      </c>
      <c r="F28" s="1200" t="s">
        <v>19</v>
      </c>
      <c r="G28" s="1187"/>
      <c r="H28" s="1189"/>
      <c r="I28" s="1191"/>
      <c r="J28" s="1193"/>
      <c r="K28" s="1185"/>
      <c r="L28" s="1185"/>
      <c r="M28" s="1185"/>
      <c r="N28" s="1196"/>
      <c r="O28" s="1185"/>
      <c r="P28" s="1185"/>
      <c r="Q28" s="1185"/>
      <c r="R28" s="1183"/>
      <c r="S28" s="1185"/>
      <c r="T28" s="804"/>
      <c r="U28" s="804"/>
      <c r="V28" s="803"/>
      <c r="W28" s="746"/>
      <c r="X28" s="731"/>
      <c r="Y28" s="731"/>
      <c r="Z28" s="731"/>
      <c r="AA28" s="731"/>
      <c r="AB28" s="731"/>
      <c r="AC28" s="731" t="s">
        <v>175</v>
      </c>
      <c r="AD28" s="731" t="s">
        <v>176</v>
      </c>
      <c r="AE28" s="731" t="s">
        <v>177</v>
      </c>
      <c r="AF28" s="731" t="s">
        <v>178</v>
      </c>
      <c r="AG28" s="731" t="s">
        <v>179</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customHeight="1">
      <c r="A29" s="188"/>
      <c r="D29" s="1198"/>
      <c r="E29" s="1187"/>
      <c r="F29" s="1201"/>
      <c r="G29" s="1187"/>
      <c r="H29" s="1190"/>
      <c r="I29" s="1192"/>
      <c r="J29" s="1194"/>
      <c r="K29" s="1186"/>
      <c r="L29" s="1186"/>
      <c r="M29" s="1186"/>
      <c r="N29" s="1197"/>
      <c r="O29" s="1186"/>
      <c r="P29" s="1186"/>
      <c r="Q29" s="1186"/>
      <c r="R29" s="1184"/>
      <c r="S29" s="1186"/>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customHeight="1">
      <c r="A30" s="188"/>
      <c r="D30" s="1199"/>
      <c r="E30" s="1188"/>
      <c r="F30" s="1201"/>
      <c r="G30" s="1188"/>
      <c r="H30" s="1190"/>
      <c r="I30" s="1192"/>
      <c r="J30" s="1195"/>
      <c r="K30" s="1186"/>
      <c r="L30" s="1186"/>
      <c r="M30" s="1186"/>
      <c r="N30" s="1184"/>
      <c r="O30" s="1186"/>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customHeight="1">
      <c r="A31" s="188"/>
      <c r="D31" s="1199"/>
      <c r="E31" s="1188"/>
      <c r="F31" s="1201"/>
      <c r="G31" s="1188"/>
      <c r="H31" s="1190"/>
      <c r="I31" s="1192"/>
      <c r="J31" s="1195"/>
      <c r="K31" s="1186"/>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customHeight="1">
      <c r="A32" s="188"/>
      <c r="D32" s="1199"/>
      <c r="E32" s="1188"/>
      <c r="F32" s="1202"/>
      <c r="G32" s="1188"/>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customHeight="1">
      <c r="A33" s="188"/>
      <c r="C33" s="77"/>
      <c r="D33" s="1198">
        <v>4</v>
      </c>
      <c r="E33" s="1187" t="s">
        <v>180</v>
      </c>
      <c r="F33" s="1200" t="s">
        <v>19</v>
      </c>
      <c r="G33" s="1187"/>
      <c r="H33" s="1189"/>
      <c r="I33" s="1191"/>
      <c r="J33" s="1193"/>
      <c r="K33" s="1185"/>
      <c r="L33" s="1185"/>
      <c r="M33" s="1185"/>
      <c r="N33" s="1196"/>
      <c r="O33" s="1185"/>
      <c r="P33" s="1185"/>
      <c r="Q33" s="1185"/>
      <c r="R33" s="1183"/>
      <c r="S33" s="1185"/>
      <c r="T33" s="804"/>
      <c r="U33" s="804"/>
      <c r="V33" s="803"/>
      <c r="W33" s="746"/>
      <c r="X33" s="731"/>
      <c r="Y33" s="731"/>
      <c r="Z33" s="731"/>
      <c r="AA33" s="731"/>
      <c r="AB33" s="731"/>
      <c r="AC33" s="731" t="s">
        <v>181</v>
      </c>
      <c r="AD33" s="731" t="s">
        <v>182</v>
      </c>
      <c r="AE33" s="731" t="s">
        <v>183</v>
      </c>
      <c r="AF33" s="731" t="s">
        <v>184</v>
      </c>
      <c r="AG33" s="731" t="s">
        <v>185</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customHeight="1">
      <c r="A34" s="188"/>
      <c r="D34" s="1198"/>
      <c r="E34" s="1187"/>
      <c r="F34" s="1201"/>
      <c r="G34" s="1187"/>
      <c r="H34" s="1190"/>
      <c r="I34" s="1192"/>
      <c r="J34" s="1194"/>
      <c r="K34" s="1186"/>
      <c r="L34" s="1186"/>
      <c r="M34" s="1186"/>
      <c r="N34" s="1197"/>
      <c r="O34" s="1186"/>
      <c r="P34" s="1186"/>
      <c r="Q34" s="1186"/>
      <c r="R34" s="1184"/>
      <c r="S34" s="1186"/>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customHeight="1">
      <c r="A35" s="188"/>
      <c r="D35" s="1199"/>
      <c r="E35" s="1188"/>
      <c r="F35" s="1201"/>
      <c r="G35" s="1188"/>
      <c r="H35" s="1190"/>
      <c r="I35" s="1192"/>
      <c r="J35" s="1195"/>
      <c r="K35" s="1186"/>
      <c r="L35" s="1186"/>
      <c r="M35" s="1186"/>
      <c r="N35" s="1184"/>
      <c r="O35" s="1186"/>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customHeight="1">
      <c r="A36" s="188"/>
      <c r="D36" s="1199"/>
      <c r="E36" s="1188"/>
      <c r="F36" s="1201"/>
      <c r="G36" s="1188"/>
      <c r="H36" s="1190"/>
      <c r="I36" s="1192"/>
      <c r="J36" s="1195"/>
      <c r="K36" s="1186"/>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customHeight="1">
      <c r="A37" s="188"/>
      <c r="D37" s="1199"/>
      <c r="E37" s="1188"/>
      <c r="F37" s="1202"/>
      <c r="G37" s="1188"/>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customHeight="1">
      <c r="A38" s="188"/>
      <c r="C38" s="77"/>
      <c r="D38" s="1198">
        <v>5</v>
      </c>
      <c r="E38" s="1187" t="s">
        <v>186</v>
      </c>
      <c r="F38" s="1200" t="s">
        <v>19</v>
      </c>
      <c r="G38" s="1187"/>
      <c r="H38" s="1189"/>
      <c r="I38" s="1191"/>
      <c r="J38" s="1193"/>
      <c r="K38" s="1185"/>
      <c r="L38" s="1185"/>
      <c r="M38" s="1185"/>
      <c r="N38" s="1196"/>
      <c r="O38" s="1185"/>
      <c r="P38" s="1185"/>
      <c r="Q38" s="1185"/>
      <c r="R38" s="1183"/>
      <c r="S38" s="1185"/>
      <c r="T38" s="804"/>
      <c r="U38" s="804"/>
      <c r="V38" s="803"/>
      <c r="W38" s="746"/>
      <c r="X38" s="731"/>
      <c r="Y38" s="731"/>
      <c r="Z38" s="731"/>
      <c r="AA38" s="731"/>
      <c r="AB38" s="731"/>
      <c r="AC38" s="731" t="s">
        <v>187</v>
      </c>
      <c r="AD38" s="731" t="s">
        <v>188</v>
      </c>
      <c r="AE38" s="731" t="s">
        <v>189</v>
      </c>
      <c r="AF38" s="731" t="s">
        <v>190</v>
      </c>
      <c r="AG38" s="731" t="s">
        <v>191</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customHeight="1">
      <c r="A39" s="188"/>
      <c r="D39" s="1198"/>
      <c r="E39" s="1187"/>
      <c r="F39" s="1201"/>
      <c r="G39" s="1187"/>
      <c r="H39" s="1190"/>
      <c r="I39" s="1192"/>
      <c r="J39" s="1194"/>
      <c r="K39" s="1186"/>
      <c r="L39" s="1186"/>
      <c r="M39" s="1186"/>
      <c r="N39" s="1197"/>
      <c r="O39" s="1186"/>
      <c r="P39" s="1186"/>
      <c r="Q39" s="1186"/>
      <c r="R39" s="1184"/>
      <c r="S39" s="1186"/>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customHeight="1">
      <c r="A40" s="188"/>
      <c r="D40" s="1199"/>
      <c r="E40" s="1188"/>
      <c r="F40" s="1201"/>
      <c r="G40" s="1188"/>
      <c r="H40" s="1190"/>
      <c r="I40" s="1192"/>
      <c r="J40" s="1195"/>
      <c r="K40" s="1186"/>
      <c r="L40" s="1186"/>
      <c r="M40" s="1186"/>
      <c r="N40" s="1184"/>
      <c r="O40" s="1186"/>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customHeight="1">
      <c r="A41" s="188"/>
      <c r="D41" s="1199"/>
      <c r="E41" s="1188"/>
      <c r="F41" s="1201"/>
      <c r="G41" s="1188"/>
      <c r="H41" s="1190"/>
      <c r="I41" s="1192"/>
      <c r="J41" s="1195"/>
      <c r="K41" s="1186"/>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customHeight="1">
      <c r="A42" s="188"/>
      <c r="D42" s="1199"/>
      <c r="E42" s="1188"/>
      <c r="F42" s="1202"/>
      <c r="G42" s="1188"/>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customHeight="1">
      <c r="A43" s="188"/>
      <c r="C43" s="77"/>
      <c r="D43" s="1198">
        <v>6</v>
      </c>
      <c r="E43" s="1187" t="s">
        <v>192</v>
      </c>
      <c r="F43" s="1200" t="s">
        <v>19</v>
      </c>
      <c r="G43" s="1187"/>
      <c r="H43" s="1189"/>
      <c r="I43" s="1191"/>
      <c r="J43" s="1193"/>
      <c r="K43" s="1185"/>
      <c r="L43" s="1185"/>
      <c r="M43" s="1185"/>
      <c r="N43" s="1196"/>
      <c r="O43" s="1185"/>
      <c r="P43" s="1185"/>
      <c r="Q43" s="1185"/>
      <c r="R43" s="1183"/>
      <c r="S43" s="1185"/>
      <c r="T43" s="804"/>
      <c r="U43" s="804"/>
      <c r="V43" s="803"/>
      <c r="W43" s="746"/>
      <c r="X43" s="731"/>
      <c r="Y43" s="731"/>
      <c r="Z43" s="731"/>
      <c r="AA43" s="731"/>
      <c r="AB43" s="731"/>
      <c r="AC43" s="731" t="s">
        <v>193</v>
      </c>
      <c r="AD43" s="731" t="s">
        <v>194</v>
      </c>
      <c r="AE43" s="731" t="s">
        <v>195</v>
      </c>
      <c r="AF43" s="731" t="s">
        <v>196</v>
      </c>
      <c r="AG43" s="731" t="s">
        <v>197</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customHeight="1">
      <c r="A44" s="188"/>
      <c r="D44" s="1198"/>
      <c r="E44" s="1187"/>
      <c r="F44" s="1201"/>
      <c r="G44" s="1187"/>
      <c r="H44" s="1190"/>
      <c r="I44" s="1192"/>
      <c r="J44" s="1194"/>
      <c r="K44" s="1186"/>
      <c r="L44" s="1186"/>
      <c r="M44" s="1186"/>
      <c r="N44" s="1197"/>
      <c r="O44" s="1186"/>
      <c r="P44" s="1186"/>
      <c r="Q44" s="1186"/>
      <c r="R44" s="1184"/>
      <c r="S44" s="1186"/>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customHeight="1">
      <c r="A45" s="188"/>
      <c r="D45" s="1199"/>
      <c r="E45" s="1188"/>
      <c r="F45" s="1201"/>
      <c r="G45" s="1188"/>
      <c r="H45" s="1190"/>
      <c r="I45" s="1192"/>
      <c r="J45" s="1195"/>
      <c r="K45" s="1186"/>
      <c r="L45" s="1186"/>
      <c r="M45" s="1186"/>
      <c r="N45" s="1184"/>
      <c r="O45" s="1186"/>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customHeight="1">
      <c r="A46" s="188"/>
      <c r="C46" s="77"/>
      <c r="D46" s="1199"/>
      <c r="E46" s="1188"/>
      <c r="F46" s="1201"/>
      <c r="G46" s="1188"/>
      <c r="H46" s="1190"/>
      <c r="I46" s="1192"/>
      <c r="J46" s="1195"/>
      <c r="K46" s="1186"/>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customHeight="1">
      <c r="A47" s="188"/>
      <c r="D47" s="1199"/>
      <c r="E47" s="1188"/>
      <c r="F47" s="1202"/>
      <c r="G47" s="1188"/>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customHeight="1">
      <c r="A48" s="188"/>
      <c r="C48" s="77"/>
      <c r="D48" s="1206">
        <v>7</v>
      </c>
      <c r="E48" s="1209" t="s">
        <v>198</v>
      </c>
      <c r="F48" s="1200" t="s">
        <v>19</v>
      </c>
      <c r="G48" s="1209"/>
      <c r="H48" s="1189"/>
      <c r="I48" s="1191"/>
      <c r="J48" s="1193"/>
      <c r="K48" s="1185"/>
      <c r="L48" s="1185"/>
      <c r="M48" s="1185"/>
      <c r="N48" s="1196"/>
      <c r="O48" s="1185"/>
      <c r="P48" s="1185"/>
      <c r="Q48" s="1185"/>
      <c r="R48" s="1183"/>
      <c r="S48" s="1185"/>
      <c r="T48" s="804"/>
      <c r="U48" s="804"/>
      <c r="V48" s="803"/>
      <c r="W48" s="746"/>
      <c r="X48" s="731"/>
      <c r="Y48" s="731"/>
      <c r="Z48" s="731"/>
      <c r="AA48" s="731"/>
      <c r="AB48" s="731"/>
      <c r="AC48" s="731" t="s">
        <v>199</v>
      </c>
      <c r="AD48" s="731" t="s">
        <v>200</v>
      </c>
      <c r="AE48" s="731" t="s">
        <v>201</v>
      </c>
      <c r="AF48" s="731" t="s">
        <v>202</v>
      </c>
      <c r="AG48" s="731" t="s">
        <v>203</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customHeight="1">
      <c r="A49" s="188"/>
      <c r="D49" s="1207"/>
      <c r="E49" s="1210"/>
      <c r="F49" s="1201"/>
      <c r="G49" s="1210"/>
      <c r="H49" s="1190"/>
      <c r="I49" s="1192"/>
      <c r="J49" s="1194"/>
      <c r="K49" s="1186"/>
      <c r="L49" s="1186"/>
      <c r="M49" s="1186"/>
      <c r="N49" s="1197"/>
      <c r="O49" s="1186"/>
      <c r="P49" s="1186"/>
      <c r="Q49" s="1186"/>
      <c r="R49" s="1184"/>
      <c r="S49" s="1186"/>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customHeight="1">
      <c r="A50" s="188"/>
      <c r="D50" s="1207"/>
      <c r="E50" s="1210"/>
      <c r="F50" s="1201"/>
      <c r="G50" s="1210"/>
      <c r="H50" s="1190"/>
      <c r="I50" s="1192"/>
      <c r="J50" s="1195"/>
      <c r="K50" s="1186"/>
      <c r="L50" s="1186"/>
      <c r="M50" s="1186"/>
      <c r="N50" s="1184"/>
      <c r="O50" s="1186"/>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customHeight="1">
      <c r="A51" s="188"/>
      <c r="C51" s="77"/>
      <c r="D51" s="1207"/>
      <c r="E51" s="1210"/>
      <c r="F51" s="1201"/>
      <c r="G51" s="1210"/>
      <c r="H51" s="1190"/>
      <c r="I51" s="1192"/>
      <c r="J51" s="1195"/>
      <c r="K51" s="1186"/>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customHeight="1">
      <c r="A52" s="188"/>
      <c r="D52" s="1208"/>
      <c r="E52" s="1211"/>
      <c r="F52" s="1202"/>
      <c r="G52" s="1211"/>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customHeight="1">
      <c r="A53" s="188"/>
      <c r="C53" s="77"/>
      <c r="D53" s="1198">
        <v>8</v>
      </c>
      <c r="E53" s="1187" t="s">
        <v>204</v>
      </c>
      <c r="F53" s="1200" t="s">
        <v>19</v>
      </c>
      <c r="G53" s="1187"/>
      <c r="H53" s="1189"/>
      <c r="I53" s="1191"/>
      <c r="J53" s="1193"/>
      <c r="K53" s="1185"/>
      <c r="L53" s="1185"/>
      <c r="M53" s="1185"/>
      <c r="N53" s="1196"/>
      <c r="O53" s="1185"/>
      <c r="P53" s="1185"/>
      <c r="Q53" s="1185"/>
      <c r="R53" s="1183"/>
      <c r="S53" s="1185"/>
      <c r="T53" s="804"/>
      <c r="U53" s="804"/>
      <c r="V53" s="803"/>
      <c r="W53" s="746"/>
      <c r="X53" s="731"/>
      <c r="Y53" s="731"/>
      <c r="Z53" s="731"/>
      <c r="AA53" s="731"/>
      <c r="AB53" s="731"/>
      <c r="AC53" s="731" t="s">
        <v>205</v>
      </c>
      <c r="AD53" s="731" t="s">
        <v>206</v>
      </c>
      <c r="AE53" s="731" t="s">
        <v>207</v>
      </c>
      <c r="AF53" s="731" t="s">
        <v>208</v>
      </c>
      <c r="AG53" s="731" t="s">
        <v>209</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customHeight="1">
      <c r="A54" s="188"/>
      <c r="D54" s="1198"/>
      <c r="E54" s="1187"/>
      <c r="F54" s="1201"/>
      <c r="G54" s="1187"/>
      <c r="H54" s="1190"/>
      <c r="I54" s="1192"/>
      <c r="J54" s="1194"/>
      <c r="K54" s="1186"/>
      <c r="L54" s="1186"/>
      <c r="M54" s="1186"/>
      <c r="N54" s="1197"/>
      <c r="O54" s="1186"/>
      <c r="P54" s="1186"/>
      <c r="Q54" s="1186"/>
      <c r="R54" s="1184"/>
      <c r="S54" s="1186"/>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customHeight="1">
      <c r="A55" s="188"/>
      <c r="D55" s="1199"/>
      <c r="E55" s="1188"/>
      <c r="F55" s="1201"/>
      <c r="G55" s="1188"/>
      <c r="H55" s="1190"/>
      <c r="I55" s="1192"/>
      <c r="J55" s="1195"/>
      <c r="K55" s="1186"/>
      <c r="L55" s="1186"/>
      <c r="M55" s="1186"/>
      <c r="N55" s="1184"/>
      <c r="O55" s="1186"/>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customHeight="1">
      <c r="A56" s="188"/>
      <c r="C56" s="77"/>
      <c r="D56" s="1199"/>
      <c r="E56" s="1188"/>
      <c r="F56" s="1201"/>
      <c r="G56" s="1188"/>
      <c r="H56" s="1190"/>
      <c r="I56" s="1192"/>
      <c r="J56" s="1195"/>
      <c r="K56" s="1186"/>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customHeight="1">
      <c r="A57" s="188"/>
      <c r="D57" s="1199"/>
      <c r="E57" s="1188"/>
      <c r="F57" s="1202"/>
      <c r="G57" s="1188"/>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customHeight="1">
      <c r="A58" s="188"/>
      <c r="C58" s="77"/>
      <c r="D58" s="1198">
        <v>9</v>
      </c>
      <c r="E58" s="1187" t="s">
        <v>210</v>
      </c>
      <c r="F58" s="1200" t="s">
        <v>19</v>
      </c>
      <c r="G58" s="1187"/>
      <c r="H58" s="1189"/>
      <c r="I58" s="1191"/>
      <c r="J58" s="1193"/>
      <c r="K58" s="1185"/>
      <c r="L58" s="1185"/>
      <c r="M58" s="1185"/>
      <c r="N58" s="1196"/>
      <c r="O58" s="1185"/>
      <c r="P58" s="1185"/>
      <c r="Q58" s="1185"/>
      <c r="R58" s="1183"/>
      <c r="S58" s="1185"/>
      <c r="T58" s="804"/>
      <c r="U58" s="804"/>
      <c r="V58" s="803"/>
      <c r="W58" s="746"/>
      <c r="X58" s="731"/>
      <c r="Y58" s="731"/>
      <c r="Z58" s="731"/>
      <c r="AA58" s="731"/>
      <c r="AB58" s="731"/>
      <c r="AC58" s="731" t="s">
        <v>211</v>
      </c>
      <c r="AD58" s="731" t="s">
        <v>212</v>
      </c>
      <c r="AE58" s="731" t="s">
        <v>213</v>
      </c>
      <c r="AF58" s="731" t="s">
        <v>214</v>
      </c>
      <c r="AG58" s="731" t="s">
        <v>215</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customHeight="1">
      <c r="A59" s="188"/>
      <c r="D59" s="1198"/>
      <c r="E59" s="1187"/>
      <c r="F59" s="1201"/>
      <c r="G59" s="1187"/>
      <c r="H59" s="1190"/>
      <c r="I59" s="1192"/>
      <c r="J59" s="1194"/>
      <c r="K59" s="1186"/>
      <c r="L59" s="1186"/>
      <c r="M59" s="1186"/>
      <c r="N59" s="1197"/>
      <c r="O59" s="1186"/>
      <c r="P59" s="1186"/>
      <c r="Q59" s="1186"/>
      <c r="R59" s="1184"/>
      <c r="S59" s="1186"/>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customHeight="1">
      <c r="A60" s="188"/>
      <c r="D60" s="1199"/>
      <c r="E60" s="1188"/>
      <c r="F60" s="1201"/>
      <c r="G60" s="1188"/>
      <c r="H60" s="1190"/>
      <c r="I60" s="1192"/>
      <c r="J60" s="1195"/>
      <c r="K60" s="1186"/>
      <c r="L60" s="1186"/>
      <c r="M60" s="1186"/>
      <c r="N60" s="1184"/>
      <c r="O60" s="1186"/>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customHeight="1">
      <c r="A61" s="188"/>
      <c r="C61" s="77"/>
      <c r="D61" s="1199"/>
      <c r="E61" s="1188"/>
      <c r="F61" s="1201"/>
      <c r="G61" s="1188"/>
      <c r="H61" s="1190"/>
      <c r="I61" s="1192"/>
      <c r="J61" s="1195"/>
      <c r="K61" s="1186"/>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customHeight="1">
      <c r="A62" s="188"/>
      <c r="D62" s="1199"/>
      <c r="E62" s="1188"/>
      <c r="F62" s="1202"/>
      <c r="G62" s="1188"/>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customHeight="1">
      <c r="A63" s="188"/>
      <c r="C63" s="77"/>
      <c r="D63" s="1198">
        <v>10</v>
      </c>
      <c r="E63" s="1187" t="s">
        <v>216</v>
      </c>
      <c r="F63" s="1200" t="s">
        <v>19</v>
      </c>
      <c r="G63" s="1187"/>
      <c r="H63" s="1189"/>
      <c r="I63" s="1191"/>
      <c r="J63" s="1193"/>
      <c r="K63" s="1185"/>
      <c r="L63" s="1185"/>
      <c r="M63" s="1185"/>
      <c r="N63" s="1196"/>
      <c r="O63" s="1185"/>
      <c r="P63" s="1185"/>
      <c r="Q63" s="1185"/>
      <c r="R63" s="1183"/>
      <c r="S63" s="1185"/>
      <c r="T63" s="804"/>
      <c r="U63" s="804"/>
      <c r="V63" s="803"/>
      <c r="W63" s="746"/>
      <c r="X63" s="731"/>
      <c r="Y63" s="731"/>
      <c r="Z63" s="731"/>
      <c r="AA63" s="731"/>
      <c r="AB63" s="731"/>
      <c r="AC63" s="731" t="s">
        <v>217</v>
      </c>
      <c r="AD63" s="731" t="s">
        <v>218</v>
      </c>
      <c r="AE63" s="731" t="s">
        <v>219</v>
      </c>
      <c r="AF63" s="731" t="s">
        <v>220</v>
      </c>
      <c r="AG63" s="731" t="s">
        <v>221</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customHeight="1">
      <c r="A64" s="188"/>
      <c r="D64" s="1198"/>
      <c r="E64" s="1187"/>
      <c r="F64" s="1201"/>
      <c r="G64" s="1187"/>
      <c r="H64" s="1190"/>
      <c r="I64" s="1192"/>
      <c r="J64" s="1194"/>
      <c r="K64" s="1186"/>
      <c r="L64" s="1186"/>
      <c r="M64" s="1186"/>
      <c r="N64" s="1197"/>
      <c r="O64" s="1186"/>
      <c r="P64" s="1186"/>
      <c r="Q64" s="1186"/>
      <c r="R64" s="1184"/>
      <c r="S64" s="1186"/>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customHeight="1">
      <c r="A65" s="188"/>
      <c r="D65" s="1199"/>
      <c r="E65" s="1188"/>
      <c r="F65" s="1201"/>
      <c r="G65" s="1188"/>
      <c r="H65" s="1190"/>
      <c r="I65" s="1192"/>
      <c r="J65" s="1195"/>
      <c r="K65" s="1186"/>
      <c r="L65" s="1186"/>
      <c r="M65" s="1186"/>
      <c r="N65" s="1184"/>
      <c r="O65" s="1186"/>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customHeight="1">
      <c r="A66" s="188"/>
      <c r="C66" s="77"/>
      <c r="D66" s="1199"/>
      <c r="E66" s="1188"/>
      <c r="F66" s="1201"/>
      <c r="G66" s="1188"/>
      <c r="H66" s="1190"/>
      <c r="I66" s="1192"/>
      <c r="J66" s="1195"/>
      <c r="K66" s="1186"/>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customHeight="1">
      <c r="A67" s="188"/>
      <c r="D67" s="1199"/>
      <c r="E67" s="1188"/>
      <c r="F67" s="1202"/>
      <c r="G67" s="1188"/>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customHeight="1">
      <c r="AR68" s="35">
        <v>0</v>
      </c>
    </row>
    <row r="69" spans="1:44" ht="11.25" customHeight="1">
      <c r="E69" s="1205" t="s">
        <v>222</v>
      </c>
      <c r="F69" s="1205"/>
      <c r="G69" s="1205"/>
      <c r="H69" s="1205"/>
      <c r="I69" s="1205"/>
      <c r="J69" s="1205"/>
      <c r="K69" s="1205"/>
      <c r="L69" s="1205"/>
      <c r="M69" s="1205"/>
      <c r="N69" s="1205"/>
      <c r="O69" s="1205"/>
      <c r="P69" s="1205"/>
      <c r="Q69" s="1205"/>
      <c r="R69" s="1205"/>
      <c r="S69" s="1205"/>
      <c r="T69" s="1205"/>
      <c r="U69" s="1205"/>
      <c r="V69" s="1205"/>
      <c r="W69" s="1205"/>
      <c r="AR69" s="35">
        <v>0</v>
      </c>
    </row>
    <row r="70" spans="1:44" ht="36.75" customHeight="1">
      <c r="E70" s="1203" t="s">
        <v>223</v>
      </c>
      <c r="F70" s="1203"/>
      <c r="G70" s="1204"/>
      <c r="H70" s="1204"/>
      <c r="I70" s="1204"/>
      <c r="J70" s="1204"/>
      <c r="K70" s="1204"/>
      <c r="L70" s="1204"/>
      <c r="M70" s="1204"/>
      <c r="N70" s="1204"/>
      <c r="O70" s="1204"/>
      <c r="P70" s="1204"/>
      <c r="Q70" s="1204"/>
      <c r="R70" s="1204"/>
      <c r="S70" s="1204"/>
      <c r="T70" s="1204"/>
      <c r="U70" s="1204"/>
      <c r="V70" s="1204"/>
      <c r="W70" s="1204"/>
      <c r="AR70" s="35">
        <v>0</v>
      </c>
    </row>
    <row r="71" spans="1:44" ht="28.5" customHeight="1">
      <c r="E71" s="1203" t="s">
        <v>224</v>
      </c>
      <c r="F71" s="1203"/>
      <c r="G71" s="1204"/>
      <c r="H71" s="1204"/>
      <c r="I71" s="1204"/>
      <c r="J71" s="1204"/>
      <c r="K71" s="1204"/>
      <c r="L71" s="1204"/>
      <c r="M71" s="1204"/>
      <c r="N71" s="1204"/>
      <c r="O71" s="1204"/>
      <c r="P71" s="1204"/>
      <c r="Q71" s="1204"/>
      <c r="R71" s="1204"/>
      <c r="S71" s="1204"/>
      <c r="T71" s="1204"/>
      <c r="U71" s="1204"/>
      <c r="V71" s="1204"/>
      <c r="W71" s="1204"/>
      <c r="AR71" s="35">
        <v>0</v>
      </c>
    </row>
    <row r="72" spans="1:44" ht="27" customHeight="1">
      <c r="E72" s="1203" t="s">
        <v>225</v>
      </c>
      <c r="F72" s="1203"/>
      <c r="G72" s="1204"/>
      <c r="H72" s="1204"/>
      <c r="I72" s="1204"/>
      <c r="J72" s="1204"/>
      <c r="K72" s="1204"/>
      <c r="L72" s="1204"/>
      <c r="M72" s="1204"/>
      <c r="N72" s="1204"/>
      <c r="O72" s="1204"/>
      <c r="P72" s="1204"/>
      <c r="Q72" s="1204"/>
      <c r="R72" s="1204"/>
      <c r="S72" s="1204"/>
      <c r="T72" s="1204"/>
      <c r="U72" s="1204"/>
      <c r="V72" s="1204"/>
      <c r="W72" s="1204"/>
      <c r="AR72" s="35">
        <v>0</v>
      </c>
    </row>
    <row r="73" spans="1:44" ht="17.25" customHeight="1">
      <c r="E73" s="1203" t="s">
        <v>226</v>
      </c>
      <c r="F73" s="1203"/>
      <c r="G73" s="1204"/>
      <c r="H73" s="1204"/>
      <c r="I73" s="1204"/>
      <c r="J73" s="1204"/>
      <c r="K73" s="1204"/>
      <c r="L73" s="1204"/>
      <c r="M73" s="1204"/>
      <c r="N73" s="1204"/>
      <c r="O73" s="1204"/>
      <c r="P73" s="1204"/>
      <c r="Q73" s="1204"/>
      <c r="R73" s="1204"/>
      <c r="S73" s="1204"/>
      <c r="T73" s="1204"/>
      <c r="U73" s="1204"/>
      <c r="V73" s="1204"/>
      <c r="W73" s="1204"/>
      <c r="AR73" s="35">
        <v>0</v>
      </c>
    </row>
    <row r="74" spans="1:44" ht="15" customHeight="1">
      <c r="E74" s="200"/>
      <c r="F74" s="200"/>
      <c r="G74" s="71"/>
      <c r="H74" s="71"/>
      <c r="I74" s="71"/>
      <c r="J74" s="71"/>
      <c r="K74" s="71"/>
      <c r="L74" s="71"/>
      <c r="M74" s="71"/>
      <c r="N74" s="71"/>
      <c r="O74" s="71"/>
      <c r="P74" s="71"/>
      <c r="Q74" s="71"/>
      <c r="R74" s="71"/>
      <c r="S74" s="71"/>
      <c r="T74" s="71"/>
      <c r="U74" s="71"/>
      <c r="V74" s="71"/>
      <c r="W74" s="71"/>
      <c r="AR74" s="35">
        <v>0</v>
      </c>
    </row>
    <row r="75" spans="1:44" ht="15" customHeight="1">
      <c r="E75" s="1205" t="s">
        <v>227</v>
      </c>
      <c r="F75" s="1205"/>
      <c r="G75" s="1205"/>
      <c r="H75" s="1205"/>
      <c r="I75" s="1205"/>
      <c r="J75" s="1205"/>
      <c r="K75" s="1205"/>
      <c r="L75" s="1205"/>
      <c r="M75" s="1205"/>
      <c r="N75" s="1205"/>
      <c r="O75" s="1205"/>
      <c r="P75" s="1205"/>
      <c r="Q75" s="1205"/>
      <c r="R75" s="1205"/>
      <c r="S75" s="1205"/>
      <c r="T75" s="1205"/>
      <c r="U75" s="1205"/>
      <c r="V75" s="1205"/>
      <c r="W75" s="1205"/>
      <c r="AR75" s="35">
        <v>0</v>
      </c>
    </row>
    <row r="76" spans="1:44" ht="17.25" customHeight="1">
      <c r="E76" s="1203" t="s">
        <v>228</v>
      </c>
      <c r="F76" s="1203"/>
      <c r="G76" s="1204"/>
      <c r="H76" s="1204"/>
      <c r="I76" s="1204"/>
      <c r="J76" s="1204"/>
      <c r="K76" s="1204"/>
      <c r="L76" s="1204"/>
      <c r="M76" s="1204"/>
      <c r="N76" s="1204"/>
      <c r="O76" s="1204"/>
      <c r="P76" s="1204"/>
      <c r="Q76" s="1204"/>
      <c r="R76" s="1204"/>
      <c r="S76" s="1204"/>
      <c r="T76" s="1204"/>
      <c r="U76" s="1204"/>
      <c r="V76" s="1204"/>
      <c r="W76" s="1204"/>
      <c r="AR76" s="35">
        <v>0</v>
      </c>
    </row>
    <row r="77" spans="1:44" ht="17.25" customHeight="1">
      <c r="E77" s="1203" t="s">
        <v>229</v>
      </c>
      <c r="F77" s="1203"/>
      <c r="G77" s="1204"/>
      <c r="H77" s="1204"/>
      <c r="I77" s="1204"/>
      <c r="J77" s="1204"/>
      <c r="K77" s="1204"/>
      <c r="L77" s="1204"/>
      <c r="M77" s="1204"/>
      <c r="N77" s="1204"/>
      <c r="O77" s="1204"/>
      <c r="P77" s="1204"/>
      <c r="Q77" s="1204"/>
      <c r="R77" s="1204"/>
      <c r="S77" s="1204"/>
      <c r="T77" s="1204"/>
      <c r="U77" s="1204"/>
      <c r="V77" s="1204"/>
      <c r="W77" s="1204"/>
      <c r="AR77" s="35">
        <v>0</v>
      </c>
    </row>
    <row r="78" spans="1:44" s="35" customFormat="1" ht="11.25"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customHeight="1">
      <c r="A79" s="188"/>
      <c r="C79" s="77"/>
      <c r="D79" s="1198">
        <v>1</v>
      </c>
      <c r="E79" s="1187" t="s">
        <v>230</v>
      </c>
      <c r="F79" s="1200" t="s">
        <v>19</v>
      </c>
      <c r="G79" s="1187"/>
      <c r="H79" s="1189"/>
      <c r="I79" s="1191"/>
      <c r="J79" s="1193"/>
      <c r="K79" s="1185"/>
      <c r="L79" s="1185"/>
      <c r="M79" s="1185"/>
      <c r="N79" s="1196"/>
      <c r="O79" s="1185"/>
      <c r="P79" s="1185"/>
      <c r="Q79" s="1185"/>
      <c r="R79" s="1183"/>
      <c r="S79" s="1185"/>
      <c r="T79" s="804"/>
      <c r="U79" s="804"/>
      <c r="V79" s="803"/>
      <c r="W79" s="746"/>
      <c r="Y79" s="731"/>
      <c r="Z79" s="731"/>
      <c r="AA79" s="731"/>
      <c r="AB79" s="731"/>
      <c r="AC79" s="731" t="s">
        <v>231</v>
      </c>
      <c r="AD79" s="731" t="s">
        <v>232</v>
      </c>
      <c r="AE79" s="731" t="s">
        <v>233</v>
      </c>
      <c r="AF79" s="731" t="s">
        <v>234</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customHeight="1">
      <c r="A80" s="188"/>
      <c r="D80" s="1198"/>
      <c r="E80" s="1187"/>
      <c r="F80" s="1201"/>
      <c r="G80" s="1187"/>
      <c r="H80" s="1190"/>
      <c r="I80" s="1192"/>
      <c r="J80" s="1194"/>
      <c r="K80" s="1186"/>
      <c r="L80" s="1186"/>
      <c r="M80" s="1186"/>
      <c r="N80" s="1197"/>
      <c r="O80" s="1186"/>
      <c r="P80" s="1186"/>
      <c r="Q80" s="1186"/>
      <c r="R80" s="1184"/>
      <c r="S80" s="1186"/>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customHeight="1">
      <c r="A81" s="188"/>
      <c r="C81" s="77"/>
      <c r="D81" s="1198"/>
      <c r="E81" s="1187"/>
      <c r="F81" s="1201"/>
      <c r="G81" s="1187"/>
      <c r="H81" s="1190"/>
      <c r="I81" s="1192"/>
      <c r="J81" s="1195"/>
      <c r="K81" s="1186"/>
      <c r="L81" s="1186"/>
      <c r="M81" s="1186"/>
      <c r="N81" s="1184"/>
      <c r="O81" s="1186"/>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customHeight="1">
      <c r="A82" s="188"/>
      <c r="D82" s="1198"/>
      <c r="E82" s="1187"/>
      <c r="F82" s="1201"/>
      <c r="G82" s="1187"/>
      <c r="H82" s="1190"/>
      <c r="I82" s="1192"/>
      <c r="J82" s="1195"/>
      <c r="K82" s="1186"/>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customHeight="1">
      <c r="A83" s="188"/>
      <c r="D83" s="1199"/>
      <c r="E83" s="1188"/>
      <c r="F83" s="1202"/>
      <c r="G83" s="1188"/>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customHeight="1">
      <c r="A84" s="188"/>
      <c r="C84" s="77"/>
      <c r="D84" s="1198">
        <v>2</v>
      </c>
      <c r="E84" s="1187" t="s">
        <v>235</v>
      </c>
      <c r="F84" s="1200" t="s">
        <v>19</v>
      </c>
      <c r="G84" s="1187"/>
      <c r="H84" s="1189"/>
      <c r="I84" s="1191"/>
      <c r="J84" s="1193"/>
      <c r="K84" s="1185"/>
      <c r="L84" s="1185"/>
      <c r="M84" s="1185"/>
      <c r="N84" s="1196"/>
      <c r="O84" s="1185"/>
      <c r="P84" s="1185"/>
      <c r="Q84" s="1185"/>
      <c r="R84" s="1183"/>
      <c r="S84" s="1185"/>
      <c r="T84" s="804"/>
      <c r="U84" s="804"/>
      <c r="V84" s="803"/>
      <c r="W84" s="746"/>
      <c r="X84" s="731"/>
      <c r="Y84" s="731"/>
      <c r="Z84" s="731"/>
      <c r="AA84" s="731"/>
      <c r="AB84" s="731"/>
      <c r="AC84" s="731" t="s">
        <v>236</v>
      </c>
      <c r="AD84" s="731" t="s">
        <v>237</v>
      </c>
      <c r="AE84" s="731" t="s">
        <v>238</v>
      </c>
      <c r="AF84" s="731" t="s">
        <v>239</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customHeight="1">
      <c r="A85" s="188"/>
      <c r="D85" s="1198"/>
      <c r="E85" s="1187"/>
      <c r="F85" s="1201"/>
      <c r="G85" s="1187"/>
      <c r="H85" s="1190"/>
      <c r="I85" s="1192"/>
      <c r="J85" s="1194"/>
      <c r="K85" s="1186"/>
      <c r="L85" s="1186"/>
      <c r="M85" s="1186"/>
      <c r="N85" s="1197"/>
      <c r="O85" s="1186"/>
      <c r="P85" s="1186"/>
      <c r="Q85" s="1186"/>
      <c r="R85" s="1184"/>
      <c r="S85" s="1186"/>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customHeight="1">
      <c r="A86" s="188"/>
      <c r="D86" s="1199"/>
      <c r="E86" s="1188"/>
      <c r="F86" s="1201"/>
      <c r="G86" s="1188"/>
      <c r="H86" s="1190"/>
      <c r="I86" s="1192"/>
      <c r="J86" s="1195"/>
      <c r="K86" s="1186"/>
      <c r="L86" s="1186"/>
      <c r="M86" s="1186"/>
      <c r="N86" s="1184"/>
      <c r="O86" s="1186"/>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customHeight="1">
      <c r="A87" s="188"/>
      <c r="D87" s="1199"/>
      <c r="E87" s="1188"/>
      <c r="F87" s="1201"/>
      <c r="G87" s="1188"/>
      <c r="H87" s="1190"/>
      <c r="I87" s="1192"/>
      <c r="J87" s="1195"/>
      <c r="K87" s="1186"/>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customHeight="1">
      <c r="A88" s="188"/>
      <c r="D88" s="1199"/>
      <c r="E88" s="1188"/>
      <c r="F88" s="1202"/>
      <c r="G88" s="1188"/>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customHeight="1">
      <c r="A89" s="188"/>
      <c r="C89" s="77"/>
      <c r="D89" s="1198">
        <v>3</v>
      </c>
      <c r="E89" s="1187" t="s">
        <v>240</v>
      </c>
      <c r="F89" s="1200" t="s">
        <v>19</v>
      </c>
      <c r="G89" s="1187"/>
      <c r="H89" s="1189"/>
      <c r="I89" s="1191"/>
      <c r="J89" s="1193"/>
      <c r="K89" s="1185"/>
      <c r="L89" s="1185"/>
      <c r="M89" s="1185"/>
      <c r="N89" s="1196"/>
      <c r="O89" s="1185"/>
      <c r="P89" s="1185"/>
      <c r="Q89" s="1185"/>
      <c r="R89" s="1183"/>
      <c r="S89" s="1185"/>
      <c r="T89" s="804"/>
      <c r="U89" s="804"/>
      <c r="V89" s="803"/>
      <c r="W89" s="746"/>
      <c r="X89" s="731"/>
      <c r="Y89" s="731"/>
      <c r="Z89" s="731"/>
      <c r="AA89" s="731"/>
      <c r="AB89" s="731"/>
      <c r="AC89" s="731" t="s">
        <v>241</v>
      </c>
      <c r="AD89" s="731" t="s">
        <v>242</v>
      </c>
      <c r="AE89" s="731" t="s">
        <v>243</v>
      </c>
      <c r="AF89" s="731" t="s">
        <v>244</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customHeight="1">
      <c r="A90" s="188"/>
      <c r="D90" s="1198"/>
      <c r="E90" s="1187"/>
      <c r="F90" s="1201"/>
      <c r="G90" s="1187"/>
      <c r="H90" s="1190"/>
      <c r="I90" s="1192"/>
      <c r="J90" s="1194"/>
      <c r="K90" s="1186"/>
      <c r="L90" s="1186"/>
      <c r="M90" s="1186"/>
      <c r="N90" s="1197"/>
      <c r="O90" s="1186"/>
      <c r="P90" s="1186"/>
      <c r="Q90" s="1186"/>
      <c r="R90" s="1184"/>
      <c r="S90" s="1186"/>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customHeight="1">
      <c r="A91" s="188"/>
      <c r="D91" s="1199"/>
      <c r="E91" s="1188"/>
      <c r="F91" s="1201"/>
      <c r="G91" s="1188"/>
      <c r="H91" s="1190"/>
      <c r="I91" s="1192"/>
      <c r="J91" s="1195"/>
      <c r="K91" s="1186"/>
      <c r="L91" s="1186"/>
      <c r="M91" s="1186"/>
      <c r="N91" s="1184"/>
      <c r="O91" s="1186"/>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customHeight="1">
      <c r="A92" s="188"/>
      <c r="D92" s="1199"/>
      <c r="E92" s="1188"/>
      <c r="F92" s="1201"/>
      <c r="G92" s="1188"/>
      <c r="H92" s="1190"/>
      <c r="I92" s="1192"/>
      <c r="J92" s="1195"/>
      <c r="K92" s="1186"/>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customHeight="1">
      <c r="A93" s="188"/>
      <c r="D93" s="1199"/>
      <c r="E93" s="1188"/>
      <c r="F93" s="1202"/>
      <c r="G93" s="1188"/>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customHeight="1">
      <c r="A94" s="188"/>
      <c r="C94" s="77"/>
      <c r="D94" s="1198">
        <v>4</v>
      </c>
      <c r="E94" s="1187" t="s">
        <v>245</v>
      </c>
      <c r="F94" s="1200" t="s">
        <v>19</v>
      </c>
      <c r="G94" s="1187"/>
      <c r="H94" s="1189"/>
      <c r="I94" s="1191"/>
      <c r="J94" s="1193"/>
      <c r="K94" s="1185"/>
      <c r="L94" s="1185"/>
      <c r="M94" s="1185"/>
      <c r="N94" s="1196"/>
      <c r="O94" s="1185"/>
      <c r="P94" s="1185"/>
      <c r="Q94" s="1185"/>
      <c r="R94" s="1183"/>
      <c r="S94" s="1185"/>
      <c r="T94" s="804"/>
      <c r="U94" s="804"/>
      <c r="V94" s="803"/>
      <c r="W94" s="746"/>
      <c r="X94" s="731"/>
      <c r="Y94" s="731"/>
      <c r="Z94" s="731"/>
      <c r="AA94" s="731"/>
      <c r="AB94" s="731"/>
      <c r="AC94" s="731" t="s">
        <v>246</v>
      </c>
      <c r="AD94" s="731" t="s">
        <v>247</v>
      </c>
      <c r="AE94" s="731" t="s">
        <v>248</v>
      </c>
      <c r="AF94" s="731" t="s">
        <v>249</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customHeight="1">
      <c r="A95" s="188"/>
      <c r="D95" s="1198"/>
      <c r="E95" s="1187"/>
      <c r="F95" s="1201"/>
      <c r="G95" s="1187"/>
      <c r="H95" s="1190"/>
      <c r="I95" s="1192"/>
      <c r="J95" s="1194"/>
      <c r="K95" s="1186"/>
      <c r="L95" s="1186"/>
      <c r="M95" s="1186"/>
      <c r="N95" s="1197"/>
      <c r="O95" s="1186"/>
      <c r="P95" s="1186"/>
      <c r="Q95" s="1186"/>
      <c r="R95" s="1184"/>
      <c r="S95" s="1186"/>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customHeight="1">
      <c r="A96" s="188"/>
      <c r="D96" s="1199"/>
      <c r="E96" s="1188"/>
      <c r="F96" s="1201"/>
      <c r="G96" s="1188"/>
      <c r="H96" s="1190"/>
      <c r="I96" s="1192"/>
      <c r="J96" s="1195"/>
      <c r="K96" s="1186"/>
      <c r="L96" s="1186"/>
      <c r="M96" s="1186"/>
      <c r="N96" s="1184"/>
      <c r="O96" s="1186"/>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customHeight="1">
      <c r="A97" s="188"/>
      <c r="D97" s="1199"/>
      <c r="E97" s="1188"/>
      <c r="F97" s="1201"/>
      <c r="G97" s="1188"/>
      <c r="H97" s="1190"/>
      <c r="I97" s="1192"/>
      <c r="J97" s="1195"/>
      <c r="K97" s="1186"/>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customHeight="1">
      <c r="A98" s="188"/>
      <c r="D98" s="1199"/>
      <c r="E98" s="1188"/>
      <c r="F98" s="1202"/>
      <c r="G98" s="1188"/>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customHeight="1">
      <c r="A99" s="188"/>
      <c r="C99" s="77"/>
      <c r="D99" s="1198">
        <v>5</v>
      </c>
      <c r="E99" s="1187" t="s">
        <v>250</v>
      </c>
      <c r="F99" s="1200" t="s">
        <v>19</v>
      </c>
      <c r="G99" s="1187"/>
      <c r="H99" s="1189"/>
      <c r="I99" s="1191"/>
      <c r="J99" s="1193"/>
      <c r="K99" s="1185"/>
      <c r="L99" s="1185"/>
      <c r="M99" s="1185"/>
      <c r="N99" s="1196"/>
      <c r="O99" s="1185"/>
      <c r="P99" s="1185"/>
      <c r="Q99" s="1185"/>
      <c r="R99" s="1183"/>
      <c r="S99" s="1185"/>
      <c r="T99" s="804"/>
      <c r="U99" s="804"/>
      <c r="V99" s="803"/>
      <c r="W99" s="746"/>
      <c r="X99" s="731"/>
      <c r="Y99" s="731"/>
      <c r="Z99" s="731"/>
      <c r="AA99" s="731"/>
      <c r="AB99" s="731"/>
      <c r="AC99" s="731" t="s">
        <v>251</v>
      </c>
      <c r="AD99" s="731" t="s">
        <v>252</v>
      </c>
      <c r="AE99" s="731" t="s">
        <v>253</v>
      </c>
      <c r="AF99" s="731" t="s">
        <v>254</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customHeight="1">
      <c r="A100" s="188"/>
      <c r="D100" s="1198"/>
      <c r="E100" s="1187"/>
      <c r="F100" s="1201"/>
      <c r="G100" s="1187"/>
      <c r="H100" s="1190"/>
      <c r="I100" s="1192"/>
      <c r="J100" s="1194"/>
      <c r="K100" s="1186"/>
      <c r="L100" s="1186"/>
      <c r="M100" s="1186"/>
      <c r="N100" s="1197"/>
      <c r="O100" s="1186"/>
      <c r="P100" s="1186"/>
      <c r="Q100" s="1186"/>
      <c r="R100" s="1184"/>
      <c r="S100" s="1186"/>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customHeight="1">
      <c r="A101" s="188"/>
      <c r="D101" s="1199"/>
      <c r="E101" s="1188"/>
      <c r="F101" s="1201"/>
      <c r="G101" s="1188"/>
      <c r="H101" s="1190"/>
      <c r="I101" s="1192"/>
      <c r="J101" s="1195"/>
      <c r="K101" s="1186"/>
      <c r="L101" s="1186"/>
      <c r="M101" s="1186"/>
      <c r="N101" s="1184"/>
      <c r="O101" s="1186"/>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customHeight="1">
      <c r="A102" s="188"/>
      <c r="D102" s="1199"/>
      <c r="E102" s="1188"/>
      <c r="F102" s="1201"/>
      <c r="G102" s="1188"/>
      <c r="H102" s="1190"/>
      <c r="I102" s="1192"/>
      <c r="J102" s="1195"/>
      <c r="K102" s="1186"/>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customHeight="1">
      <c r="A103" s="188"/>
      <c r="D103" s="1199"/>
      <c r="E103" s="1188"/>
      <c r="F103" s="1202"/>
      <c r="G103" s="1188"/>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customHeight="1">
      <c r="A105" s="188"/>
      <c r="C105" s="77"/>
      <c r="D105" s="1198">
        <v>1</v>
      </c>
      <c r="E105" s="1187" t="s">
        <v>255</v>
      </c>
      <c r="F105" s="1200" t="s">
        <v>19</v>
      </c>
      <c r="G105" s="1187"/>
      <c r="H105" s="1189"/>
      <c r="I105" s="1191"/>
      <c r="J105" s="1193"/>
      <c r="K105" s="1185"/>
      <c r="L105" s="1185"/>
      <c r="M105" s="1185"/>
      <c r="N105" s="1196"/>
      <c r="O105" s="1185"/>
      <c r="P105" s="1185"/>
      <c r="Q105" s="1185"/>
      <c r="R105" s="1183"/>
      <c r="S105" s="1185"/>
      <c r="T105" s="804"/>
      <c r="U105" s="804"/>
      <c r="V105" s="803"/>
      <c r="W105" s="746"/>
      <c r="Y105" s="731"/>
      <c r="Z105" s="731"/>
      <c r="AA105" s="731"/>
      <c r="AB105" s="731"/>
      <c r="AC105" s="731" t="s">
        <v>256</v>
      </c>
      <c r="AD105" s="731" t="s">
        <v>257</v>
      </c>
      <c r="AE105" s="731" t="s">
        <v>258</v>
      </c>
      <c r="AF105" s="731" t="s">
        <v>259</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customHeight="1">
      <c r="A106" s="188"/>
      <c r="D106" s="1198"/>
      <c r="E106" s="1187"/>
      <c r="F106" s="1201"/>
      <c r="G106" s="1187"/>
      <c r="H106" s="1190"/>
      <c r="I106" s="1192"/>
      <c r="J106" s="1194"/>
      <c r="K106" s="1186"/>
      <c r="L106" s="1186"/>
      <c r="M106" s="1186"/>
      <c r="N106" s="1197"/>
      <c r="O106" s="1186"/>
      <c r="P106" s="1186"/>
      <c r="Q106" s="1186"/>
      <c r="R106" s="1184"/>
      <c r="S106" s="1186"/>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customHeight="1">
      <c r="A107" s="188"/>
      <c r="C107" s="77"/>
      <c r="D107" s="1198"/>
      <c r="E107" s="1187"/>
      <c r="F107" s="1201"/>
      <c r="G107" s="1187"/>
      <c r="H107" s="1190"/>
      <c r="I107" s="1192"/>
      <c r="J107" s="1195"/>
      <c r="K107" s="1186"/>
      <c r="L107" s="1186"/>
      <c r="M107" s="1186"/>
      <c r="N107" s="1184"/>
      <c r="O107" s="1186"/>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customHeight="1">
      <c r="A108" s="188"/>
      <c r="D108" s="1198"/>
      <c r="E108" s="1187"/>
      <c r="F108" s="1201"/>
      <c r="G108" s="1187"/>
      <c r="H108" s="1190"/>
      <c r="I108" s="1192"/>
      <c r="J108" s="1195"/>
      <c r="K108" s="1186"/>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customHeight="1">
      <c r="A109" s="188"/>
      <c r="D109" s="1199"/>
      <c r="E109" s="1188"/>
      <c r="F109" s="1202"/>
      <c r="G109" s="1188"/>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customHeight="1">
      <c r="A110" s="188"/>
      <c r="C110" s="77"/>
      <c r="D110" s="1198">
        <v>2</v>
      </c>
      <c r="E110" s="1187" t="s">
        <v>260</v>
      </c>
      <c r="F110" s="1200" t="s">
        <v>19</v>
      </c>
      <c r="G110" s="1187"/>
      <c r="H110" s="1189"/>
      <c r="I110" s="1191"/>
      <c r="J110" s="1193"/>
      <c r="K110" s="1185"/>
      <c r="L110" s="1185"/>
      <c r="M110" s="1185"/>
      <c r="N110" s="1196"/>
      <c r="O110" s="1185"/>
      <c r="P110" s="1185"/>
      <c r="Q110" s="1185"/>
      <c r="R110" s="1183"/>
      <c r="S110" s="1185"/>
      <c r="T110" s="804"/>
      <c r="U110" s="804"/>
      <c r="V110" s="803"/>
      <c r="W110" s="746"/>
      <c r="X110" s="731"/>
      <c r="Y110" s="731"/>
      <c r="Z110" s="731"/>
      <c r="AA110" s="731"/>
      <c r="AB110" s="731"/>
      <c r="AC110" s="731" t="s">
        <v>261</v>
      </c>
      <c r="AD110" s="731" t="s">
        <v>262</v>
      </c>
      <c r="AE110" s="731" t="s">
        <v>263</v>
      </c>
      <c r="AF110" s="731" t="s">
        <v>264</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customHeight="1">
      <c r="A111" s="188"/>
      <c r="D111" s="1198"/>
      <c r="E111" s="1187"/>
      <c r="F111" s="1201"/>
      <c r="G111" s="1187"/>
      <c r="H111" s="1190"/>
      <c r="I111" s="1192"/>
      <c r="J111" s="1194"/>
      <c r="K111" s="1186"/>
      <c r="L111" s="1186"/>
      <c r="M111" s="1186"/>
      <c r="N111" s="1197"/>
      <c r="O111" s="1186"/>
      <c r="P111" s="1186"/>
      <c r="Q111" s="1186"/>
      <c r="R111" s="1184"/>
      <c r="S111" s="1186"/>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customHeight="1">
      <c r="A112" s="188"/>
      <c r="D112" s="1199"/>
      <c r="E112" s="1188"/>
      <c r="F112" s="1201"/>
      <c r="G112" s="1188"/>
      <c r="H112" s="1190"/>
      <c r="I112" s="1192"/>
      <c r="J112" s="1195"/>
      <c r="K112" s="1186"/>
      <c r="L112" s="1186"/>
      <c r="M112" s="1186"/>
      <c r="N112" s="1184"/>
      <c r="O112" s="1186"/>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customHeight="1">
      <c r="A113" s="188"/>
      <c r="D113" s="1199"/>
      <c r="E113" s="1188"/>
      <c r="F113" s="1201"/>
      <c r="G113" s="1188"/>
      <c r="H113" s="1190"/>
      <c r="I113" s="1192"/>
      <c r="J113" s="1195"/>
      <c r="K113" s="1186"/>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customHeight="1">
      <c r="A114" s="188"/>
      <c r="D114" s="1199"/>
      <c r="E114" s="1188"/>
      <c r="F114" s="1202"/>
      <c r="G114" s="1188"/>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customHeight="1">
      <c r="A115" s="188"/>
      <c r="C115" s="77"/>
      <c r="D115" s="1198">
        <v>3</v>
      </c>
      <c r="E115" s="1187" t="s">
        <v>265</v>
      </c>
      <c r="F115" s="1200" t="s">
        <v>19</v>
      </c>
      <c r="G115" s="1187"/>
      <c r="H115" s="1189"/>
      <c r="I115" s="1191"/>
      <c r="J115" s="1193"/>
      <c r="K115" s="1185"/>
      <c r="L115" s="1185"/>
      <c r="M115" s="1185"/>
      <c r="N115" s="1196"/>
      <c r="O115" s="1185"/>
      <c r="P115" s="1185"/>
      <c r="Q115" s="1185"/>
      <c r="R115" s="1183"/>
      <c r="S115" s="1185"/>
      <c r="T115" s="804"/>
      <c r="U115" s="804"/>
      <c r="V115" s="803"/>
      <c r="W115" s="746"/>
      <c r="X115" s="731"/>
      <c r="Y115" s="731"/>
      <c r="Z115" s="731"/>
      <c r="AA115" s="731"/>
      <c r="AB115" s="731"/>
      <c r="AC115" s="731" t="s">
        <v>266</v>
      </c>
      <c r="AD115" s="731" t="s">
        <v>267</v>
      </c>
      <c r="AE115" s="731" t="s">
        <v>268</v>
      </c>
      <c r="AF115" s="731" t="s">
        <v>269</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customHeight="1">
      <c r="A116" s="188"/>
      <c r="D116" s="1198"/>
      <c r="E116" s="1187"/>
      <c r="F116" s="1201"/>
      <c r="G116" s="1187"/>
      <c r="H116" s="1190"/>
      <c r="I116" s="1192"/>
      <c r="J116" s="1194"/>
      <c r="K116" s="1186"/>
      <c r="L116" s="1186"/>
      <c r="M116" s="1186"/>
      <c r="N116" s="1197"/>
      <c r="O116" s="1186"/>
      <c r="P116" s="1186"/>
      <c r="Q116" s="1186"/>
      <c r="R116" s="1184"/>
      <c r="S116" s="1186"/>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customHeight="1">
      <c r="A117" s="188"/>
      <c r="D117" s="1199"/>
      <c r="E117" s="1188"/>
      <c r="F117" s="1201"/>
      <c r="G117" s="1188"/>
      <c r="H117" s="1190"/>
      <c r="I117" s="1192"/>
      <c r="J117" s="1195"/>
      <c r="K117" s="1186"/>
      <c r="L117" s="1186"/>
      <c r="M117" s="1186"/>
      <c r="N117" s="1184"/>
      <c r="O117" s="1186"/>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customHeight="1">
      <c r="A118" s="188"/>
      <c r="D118" s="1199"/>
      <c r="E118" s="1188"/>
      <c r="F118" s="1201"/>
      <c r="G118" s="1188"/>
      <c r="H118" s="1190"/>
      <c r="I118" s="1192"/>
      <c r="J118" s="1195"/>
      <c r="K118" s="1186"/>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customHeight="1">
      <c r="A119" s="188"/>
      <c r="D119" s="1199"/>
      <c r="E119" s="1188"/>
      <c r="F119" s="1202"/>
      <c r="G119" s="1188"/>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customHeight="1">
      <c r="A121" s="188"/>
      <c r="C121" s="77"/>
      <c r="D121" s="1198">
        <v>1</v>
      </c>
      <c r="E121" s="1187" t="s">
        <v>270</v>
      </c>
      <c r="F121" s="1200" t="s">
        <v>19</v>
      </c>
      <c r="G121" s="1187"/>
      <c r="H121" s="1189"/>
      <c r="I121" s="1191"/>
      <c r="J121" s="1193"/>
      <c r="K121" s="1185"/>
      <c r="L121" s="1185"/>
      <c r="M121" s="1185"/>
      <c r="N121" s="1196"/>
      <c r="O121" s="1185"/>
      <c r="P121" s="1185"/>
      <c r="Q121" s="1185"/>
      <c r="R121" s="1183"/>
      <c r="S121" s="1185"/>
      <c r="T121" s="804"/>
      <c r="U121" s="804"/>
      <c r="V121" s="803"/>
      <c r="W121" s="746"/>
      <c r="Y121" s="731"/>
      <c r="Z121" s="731"/>
      <c r="AA121" s="731"/>
      <c r="AB121" s="731"/>
      <c r="AC121" s="731" t="s">
        <v>271</v>
      </c>
      <c r="AD121" s="731" t="s">
        <v>272</v>
      </c>
      <c r="AE121" s="731" t="s">
        <v>273</v>
      </c>
      <c r="AF121" s="731" t="s">
        <v>274</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customHeight="1">
      <c r="A122" s="188"/>
      <c r="D122" s="1198"/>
      <c r="E122" s="1187"/>
      <c r="F122" s="1201"/>
      <c r="G122" s="1187"/>
      <c r="H122" s="1190"/>
      <c r="I122" s="1192"/>
      <c r="J122" s="1194"/>
      <c r="K122" s="1186"/>
      <c r="L122" s="1186"/>
      <c r="M122" s="1186"/>
      <c r="N122" s="1197"/>
      <c r="O122" s="1186"/>
      <c r="P122" s="1186"/>
      <c r="Q122" s="1186"/>
      <c r="R122" s="1184"/>
      <c r="S122" s="1186"/>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customHeight="1">
      <c r="A123" s="188"/>
      <c r="C123" s="77"/>
      <c r="D123" s="1198"/>
      <c r="E123" s="1187"/>
      <c r="F123" s="1201"/>
      <c r="G123" s="1187"/>
      <c r="H123" s="1190"/>
      <c r="I123" s="1192"/>
      <c r="J123" s="1195"/>
      <c r="K123" s="1186"/>
      <c r="L123" s="1186"/>
      <c r="M123" s="1186"/>
      <c r="N123" s="1184"/>
      <c r="O123" s="1186"/>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customHeight="1">
      <c r="A124" s="188"/>
      <c r="D124" s="1198"/>
      <c r="E124" s="1187"/>
      <c r="F124" s="1201"/>
      <c r="G124" s="1187"/>
      <c r="H124" s="1190"/>
      <c r="I124" s="1192"/>
      <c r="J124" s="1195"/>
      <c r="K124" s="1186"/>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customHeight="1">
      <c r="A125" s="188"/>
      <c r="D125" s="1199"/>
      <c r="E125" s="1188"/>
      <c r="F125" s="1202"/>
      <c r="G125" s="1188"/>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customHeight="1">
      <c r="A126" s="188"/>
      <c r="C126" s="77"/>
      <c r="D126" s="1198">
        <v>2</v>
      </c>
      <c r="E126" s="1187" t="s">
        <v>275</v>
      </c>
      <c r="F126" s="1200" t="s">
        <v>19</v>
      </c>
      <c r="G126" s="1187"/>
      <c r="H126" s="1189"/>
      <c r="I126" s="1191"/>
      <c r="J126" s="1193"/>
      <c r="K126" s="1185"/>
      <c r="L126" s="1185"/>
      <c r="M126" s="1185"/>
      <c r="N126" s="1196"/>
      <c r="O126" s="1185"/>
      <c r="P126" s="1185"/>
      <c r="Q126" s="1185"/>
      <c r="R126" s="1183"/>
      <c r="S126" s="1185"/>
      <c r="T126" s="804"/>
      <c r="U126" s="804"/>
      <c r="V126" s="803"/>
      <c r="W126" s="746"/>
      <c r="X126" s="731"/>
      <c r="Y126" s="731"/>
      <c r="Z126" s="731"/>
      <c r="AA126" s="731"/>
      <c r="AB126" s="731"/>
      <c r="AC126" s="731" t="s">
        <v>276</v>
      </c>
      <c r="AD126" s="731" t="s">
        <v>277</v>
      </c>
      <c r="AE126" s="731" t="s">
        <v>278</v>
      </c>
      <c r="AF126" s="731" t="s">
        <v>279</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customHeight="1">
      <c r="A127" s="188"/>
      <c r="D127" s="1198"/>
      <c r="E127" s="1187"/>
      <c r="F127" s="1201"/>
      <c r="G127" s="1187"/>
      <c r="H127" s="1190"/>
      <c r="I127" s="1192"/>
      <c r="J127" s="1194"/>
      <c r="K127" s="1186"/>
      <c r="L127" s="1186"/>
      <c r="M127" s="1186"/>
      <c r="N127" s="1197"/>
      <c r="O127" s="1186"/>
      <c r="P127" s="1186"/>
      <c r="Q127" s="1186"/>
      <c r="R127" s="1184"/>
      <c r="S127" s="1186"/>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customHeight="1">
      <c r="A128" s="188"/>
      <c r="D128" s="1199"/>
      <c r="E128" s="1188"/>
      <c r="F128" s="1201"/>
      <c r="G128" s="1188"/>
      <c r="H128" s="1190"/>
      <c r="I128" s="1192"/>
      <c r="J128" s="1195"/>
      <c r="K128" s="1186"/>
      <c r="L128" s="1186"/>
      <c r="M128" s="1186"/>
      <c r="N128" s="1184"/>
      <c r="O128" s="1186"/>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customHeight="1">
      <c r="A129" s="188"/>
      <c r="D129" s="1199"/>
      <c r="E129" s="1188"/>
      <c r="F129" s="1201"/>
      <c r="G129" s="1188"/>
      <c r="H129" s="1190"/>
      <c r="I129" s="1192"/>
      <c r="J129" s="1195"/>
      <c r="K129" s="1186"/>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customHeight="1">
      <c r="A130" s="188"/>
      <c r="D130" s="1199"/>
      <c r="E130" s="1188"/>
      <c r="F130" s="1202"/>
      <c r="G130" s="1188"/>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customHeight="1">
      <c r="A131" s="188"/>
      <c r="C131" s="77"/>
      <c r="D131" s="1198">
        <v>3</v>
      </c>
      <c r="E131" s="1187" t="s">
        <v>280</v>
      </c>
      <c r="F131" s="1200" t="s">
        <v>19</v>
      </c>
      <c r="G131" s="1187"/>
      <c r="H131" s="1189"/>
      <c r="I131" s="1191"/>
      <c r="J131" s="1193"/>
      <c r="K131" s="1185"/>
      <c r="L131" s="1185"/>
      <c r="M131" s="1185"/>
      <c r="N131" s="1196"/>
      <c r="O131" s="1185"/>
      <c r="P131" s="1185"/>
      <c r="Q131" s="1185"/>
      <c r="R131" s="1183"/>
      <c r="S131" s="1185"/>
      <c r="T131" s="804"/>
      <c r="U131" s="804"/>
      <c r="V131" s="803"/>
      <c r="W131" s="746"/>
      <c r="X131" s="731"/>
      <c r="Y131" s="731"/>
      <c r="Z131" s="731"/>
      <c r="AA131" s="731"/>
      <c r="AB131" s="731"/>
      <c r="AC131" s="731" t="s">
        <v>281</v>
      </c>
      <c r="AD131" s="731" t="s">
        <v>282</v>
      </c>
      <c r="AE131" s="731" t="s">
        <v>283</v>
      </c>
      <c r="AF131" s="731" t="s">
        <v>284</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customHeight="1">
      <c r="A132" s="188"/>
      <c r="D132" s="1198"/>
      <c r="E132" s="1187"/>
      <c r="F132" s="1201"/>
      <c r="G132" s="1187"/>
      <c r="H132" s="1190"/>
      <c r="I132" s="1192"/>
      <c r="J132" s="1194"/>
      <c r="K132" s="1186"/>
      <c r="L132" s="1186"/>
      <c r="M132" s="1186"/>
      <c r="N132" s="1197"/>
      <c r="O132" s="1186"/>
      <c r="P132" s="1186"/>
      <c r="Q132" s="1186"/>
      <c r="R132" s="1184"/>
      <c r="S132" s="1186"/>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customHeight="1">
      <c r="A133" s="188"/>
      <c r="D133" s="1199"/>
      <c r="E133" s="1188"/>
      <c r="F133" s="1201"/>
      <c r="G133" s="1188"/>
      <c r="H133" s="1190"/>
      <c r="I133" s="1192"/>
      <c r="J133" s="1195"/>
      <c r="K133" s="1186"/>
      <c r="L133" s="1186"/>
      <c r="M133" s="1186"/>
      <c r="N133" s="1184"/>
      <c r="O133" s="1186"/>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customHeight="1">
      <c r="A134" s="188"/>
      <c r="D134" s="1199"/>
      <c r="E134" s="1188"/>
      <c r="F134" s="1201"/>
      <c r="G134" s="1188"/>
      <c r="H134" s="1190"/>
      <c r="I134" s="1192"/>
      <c r="J134" s="1195"/>
      <c r="K134" s="1186"/>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customHeight="1">
      <c r="A135" s="188"/>
      <c r="D135" s="1199"/>
      <c r="E135" s="1188"/>
      <c r="F135" s="1202"/>
      <c r="G135" s="1188"/>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82</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B30"/>
  <sheetViews>
    <sheetView showGridLines="0" topLeftCell="C4" zoomScale="90" workbookViewId="0">
      <selection activeCell="O8" sqref="O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25.7109375" style="11" customWidth="1"/>
    <col min="16" max="16" width="34" style="11" customWidth="1"/>
    <col min="17" max="17" width="50" style="63" customWidth="1"/>
    <col min="18" max="26" width="10" style="11" customWidth="1"/>
    <col min="27" max="27" width="10" style="302" customWidth="1"/>
    <col min="28" max="28" width="10.5703125" style="11" hidden="1"/>
  </cols>
  <sheetData>
    <row r="1" spans="1:28" s="63" customFormat="1" ht="22.5" hidden="1" customHeight="1">
      <c r="C1" s="301"/>
      <c r="G1" s="63">
        <v>4</v>
      </c>
      <c r="I1" s="63">
        <v>4</v>
      </c>
      <c r="K1" s="63">
        <v>4</v>
      </c>
      <c r="M1" s="63">
        <v>4</v>
      </c>
      <c r="O1" s="63">
        <v>4</v>
      </c>
      <c r="AA1" s="236"/>
      <c r="AB1" s="63" t="s">
        <v>14</v>
      </c>
    </row>
    <row r="2" spans="1:28" s="11" customFormat="1" ht="15" hidden="1" customHeight="1">
      <c r="A2" s="8"/>
      <c r="C2" s="87"/>
      <c r="D2" s="55"/>
      <c r="E2" s="383"/>
      <c r="F2" s="58"/>
      <c r="G2" s="79"/>
      <c r="H2" s="79"/>
      <c r="I2" s="79"/>
      <c r="J2" s="79"/>
      <c r="K2" s="79"/>
      <c r="L2" s="79"/>
      <c r="M2" s="79"/>
      <c r="N2" s="79"/>
      <c r="O2" s="79"/>
      <c r="P2" s="79"/>
      <c r="AA2" s="302"/>
      <c r="AB2" s="11">
        <v>0</v>
      </c>
    </row>
    <row r="3" spans="1:28" s="63" customFormat="1" ht="15" hidden="1" customHeight="1">
      <c r="C3" s="301"/>
      <c r="AA3" s="236"/>
      <c r="AB3" s="63">
        <v>0</v>
      </c>
    </row>
    <row r="4" spans="1:28" ht="15.75" customHeight="1">
      <c r="AB4" s="11">
        <v>15</v>
      </c>
    </row>
    <row r="5" spans="1:28" ht="66" customHeight="1">
      <c r="D5" s="1274" t="s">
        <v>1332</v>
      </c>
      <c r="E5" s="1274"/>
      <c r="F5" s="1274"/>
      <c r="G5" s="1274"/>
      <c r="H5" s="1274"/>
      <c r="I5" s="1274"/>
      <c r="J5" s="1274"/>
      <c r="K5" s="1105"/>
      <c r="L5" s="1105"/>
      <c r="M5" s="1105"/>
      <c r="N5" s="1105"/>
      <c r="O5" s="1105"/>
      <c r="P5" s="1105"/>
      <c r="AB5" s="11">
        <v>63</v>
      </c>
    </row>
    <row r="6" spans="1:28" ht="15.75" customHeight="1">
      <c r="D6" s="1246" t="str">
        <f>IF(org=0,"Не определено",org)</f>
        <v>Сургутское городское муниципальное унитарное предприятие "Горводоканал"</v>
      </c>
      <c r="E6" s="1246"/>
      <c r="F6" s="1246"/>
      <c r="G6" s="1246"/>
      <c r="H6" s="1246"/>
      <c r="I6" s="1246"/>
      <c r="J6" s="1246"/>
      <c r="K6" s="1103"/>
      <c r="L6" s="1103"/>
      <c r="M6" s="1103"/>
      <c r="N6" s="1103"/>
      <c r="O6" s="1103"/>
      <c r="P6" s="1103"/>
      <c r="AB6" s="11">
        <v>15</v>
      </c>
    </row>
    <row r="7" spans="1:28" ht="15.75" customHeight="1">
      <c r="D7" s="435"/>
      <c r="G7" s="63">
        <v>22</v>
      </c>
      <c r="I7" s="63">
        <v>1</v>
      </c>
      <c r="J7" s="435"/>
      <c r="K7" s="63" t="s">
        <v>22</v>
      </c>
      <c r="M7" s="63" t="s">
        <v>22</v>
      </c>
      <c r="O7" s="63" t="s">
        <v>22</v>
      </c>
      <c r="AB7" s="11">
        <v>15</v>
      </c>
    </row>
    <row r="8" spans="1:28" s="11" customFormat="1" ht="1.1499999999999999" customHeight="1">
      <c r="A8" s="8"/>
      <c r="C8" s="87"/>
      <c r="G8" s="63"/>
      <c r="H8" s="435"/>
      <c r="I8" s="63" t="s">
        <v>117</v>
      </c>
      <c r="J8" s="435"/>
      <c r="K8" s="63" t="s">
        <v>123</v>
      </c>
      <c r="L8" s="435"/>
      <c r="M8" s="63" t="s">
        <v>125</v>
      </c>
      <c r="N8" s="435"/>
      <c r="O8" s="63" t="s">
        <v>127</v>
      </c>
      <c r="P8" s="435"/>
      <c r="Q8" s="63"/>
      <c r="AA8" s="302"/>
      <c r="AB8" s="11">
        <v>1</v>
      </c>
    </row>
    <row r="9" spans="1:28" ht="15.75" customHeight="1">
      <c r="D9" s="409"/>
      <c r="E9" s="1383" t="s">
        <v>105</v>
      </c>
      <c r="F9" s="1384"/>
      <c r="G9" s="1410" t="str">
        <f>IF(G8="","",INDEX(DIFFERENTIATION_UNMERGE_VD,MATCH(G8,DIFFERENTIATION_ID_DIFF,0)))</f>
        <v/>
      </c>
      <c r="H9" s="1411"/>
      <c r="I9" s="1410" t="str">
        <f>IF(I8="","",INDEX(DIFFERENTIATION_UNMERGE_VD,MATCH(I8,DIFFERENTIATION_ID_DIFF,0)))</f>
        <v>Холодное водоснабжение. Питьевая вода</v>
      </c>
      <c r="J9" s="1411"/>
      <c r="K9" s="1410" t="str">
        <f>IF(K8="","",INDEX(DIFFERENTIATION_UNMERGE_VD,MATCH(K8,DIFFERENTIATION_ID_DIFF,0)))</f>
        <v>Транспортировка. Питьевая вода</v>
      </c>
      <c r="L9" s="1411"/>
      <c r="M9" s="1410" t="str">
        <f>IF(M8="","",INDEX(DIFFERENTIATION_UNMERGE_VD,MATCH(M8,DIFFERENTIATION_ID_DIFF,0)))</f>
        <v>Подключение (технологическое присоединение) к централизованной системе водоснабжения</v>
      </c>
      <c r="N9" s="1411"/>
      <c r="O9" s="1410" t="str">
        <f>IF(O8="","",INDEX(DIFFERENTIATION_UNMERGE_VD,MATCH(O8,DIFFERENTIATION_ID_DIFF,0)))</f>
        <v>Холодное водоснабжение. Подвозная вода</v>
      </c>
      <c r="P9" s="1411"/>
      <c r="Q9" s="1224" t="s">
        <v>307</v>
      </c>
      <c r="AB9" s="11">
        <v>15</v>
      </c>
    </row>
    <row r="10" spans="1:28" s="11" customFormat="1" ht="15.75" customHeight="1">
      <c r="A10" s="8"/>
      <c r="C10" s="87"/>
      <c r="D10" s="409"/>
      <c r="E10" s="1383" t="s">
        <v>568</v>
      </c>
      <c r="F10" s="1384"/>
      <c r="G10" s="1410" t="str">
        <f>IF(G8="","",INDEX(DIFFERENTIATION_UNMERGE_AREA,MATCH(G8,DIFFERENTIATION_ID_DIFF,0)))</f>
        <v/>
      </c>
      <c r="H10" s="1411"/>
      <c r="I10" s="1410" t="str">
        <f>IF(I8="","",INDEX(DIFFERENTIATION_UNMERGE_AREA,MATCH(I8,DIFFERENTIATION_ID_DIFF,0)))</f>
        <v>без дифференциации</v>
      </c>
      <c r="J10" s="1411"/>
      <c r="K10" s="1410" t="str">
        <f>IF(K8="","",INDEX(DIFFERENTIATION_UNMERGE_AREA,MATCH(K8,DIFFERENTIATION_ID_DIFF,0)))</f>
        <v>без дифференциации</v>
      </c>
      <c r="L10" s="1411"/>
      <c r="M10" s="1410" t="str">
        <f>IF(M8="","",INDEX(DIFFERENTIATION_UNMERGE_AREA,MATCH(M8,DIFFERENTIATION_ID_DIFF,0)))</f>
        <v>без дифференциации</v>
      </c>
      <c r="N10" s="1411"/>
      <c r="O10" s="1410" t="str">
        <f>IF(O8="","",INDEX(DIFFERENTIATION_UNMERGE_AREA,MATCH(O8,DIFFERENTIATION_ID_DIFF,0)))</f>
        <v>без дифференциации</v>
      </c>
      <c r="P10" s="1411"/>
      <c r="Q10" s="1229"/>
      <c r="AA10" s="302"/>
      <c r="AB10" s="11">
        <v>15</v>
      </c>
    </row>
    <row r="11" spans="1:28" s="11" customFormat="1" ht="15.75" customHeight="1">
      <c r="A11" s="8"/>
      <c r="C11" s="87"/>
      <c r="D11" s="409"/>
      <c r="E11" s="1383" t="s">
        <v>569</v>
      </c>
      <c r="F11" s="1384"/>
      <c r="G11" s="1410" t="str">
        <f>IF(G8="","",INDEX(DIFFERENTIATION_UNMERGE_SYSTEM,MATCH(G8,DIFFERENTIATION_ID_DIFF,0)))</f>
        <v/>
      </c>
      <c r="H11" s="1411"/>
      <c r="I11" s="1410" t="str">
        <f>IF(I8="","",INDEX(DIFFERENTIATION_UNMERGE_SYSTEM,MATCH(I8,DIFFERENTIATION_ID_DIFF,0)))</f>
        <v>без дифференциации</v>
      </c>
      <c r="J11" s="1411"/>
      <c r="K11" s="1410" t="str">
        <f>IF(K8="","",INDEX(DIFFERENTIATION_UNMERGE_SYSTEM,MATCH(K8,DIFFERENTIATION_ID_DIFF,0)))</f>
        <v>без дифференциации</v>
      </c>
      <c r="L11" s="1411"/>
      <c r="M11" s="1410" t="str">
        <f>IF(M8="","",INDEX(DIFFERENTIATION_UNMERGE_SYSTEM,MATCH(M8,DIFFERENTIATION_ID_DIFF,0)))</f>
        <v>без дифференциации</v>
      </c>
      <c r="N11" s="1411"/>
      <c r="O11" s="1410" t="str">
        <f>IF(O8="","",INDEX(DIFFERENTIATION_UNMERGE_SYSTEM,MATCH(O8,DIFFERENTIATION_ID_DIFF,0)))</f>
        <v>без дифференциации</v>
      </c>
      <c r="P11" s="1411"/>
      <c r="Q11" s="1229"/>
      <c r="AA11" s="302"/>
      <c r="AB11" s="11">
        <v>15</v>
      </c>
    </row>
    <row r="12" spans="1:28" s="11" customFormat="1" ht="15.75" customHeight="1">
      <c r="A12" s="8"/>
      <c r="C12" s="87"/>
      <c r="D12" s="1385" t="s">
        <v>306</v>
      </c>
      <c r="E12" s="1386"/>
      <c r="F12" s="1386"/>
      <c r="G12" s="512"/>
      <c r="H12" s="512"/>
      <c r="I12" s="512"/>
      <c r="J12" s="512"/>
      <c r="K12" s="512"/>
      <c r="L12" s="512"/>
      <c r="M12" s="512"/>
      <c r="N12" s="512"/>
      <c r="O12" s="512"/>
      <c r="P12" s="512"/>
      <c r="Q12" s="1229"/>
      <c r="AA12" s="302"/>
      <c r="AB12" s="11">
        <v>15</v>
      </c>
    </row>
    <row r="13" spans="1:28" ht="35.65" customHeight="1">
      <c r="D13" s="41" t="s">
        <v>88</v>
      </c>
      <c r="E13" s="41" t="s">
        <v>308</v>
      </c>
      <c r="F13" s="41" t="s">
        <v>570</v>
      </c>
      <c r="G13" s="389" t="s">
        <v>309</v>
      </c>
      <c r="H13" s="41" t="s">
        <v>396</v>
      </c>
      <c r="I13" s="389" t="s">
        <v>309</v>
      </c>
      <c r="J13" s="41" t="s">
        <v>396</v>
      </c>
      <c r="K13" s="389" t="s">
        <v>309</v>
      </c>
      <c r="L13" s="41" t="s">
        <v>396</v>
      </c>
      <c r="M13" s="389" t="s">
        <v>309</v>
      </c>
      <c r="N13" s="41" t="s">
        <v>396</v>
      </c>
      <c r="O13" s="389" t="s">
        <v>309</v>
      </c>
      <c r="P13" s="41" t="s">
        <v>396</v>
      </c>
      <c r="Q13" s="1279"/>
      <c r="AB13" s="11">
        <v>34</v>
      </c>
    </row>
    <row r="14" spans="1:28" ht="15" hidden="1" customHeight="1">
      <c r="D14" s="344" t="s">
        <v>109</v>
      </c>
      <c r="E14" s="344" t="s">
        <v>110</v>
      </c>
      <c r="F14" s="344" t="s">
        <v>90</v>
      </c>
      <c r="G14" s="87" t="str">
        <f>G1&amp;".1"</f>
        <v>4.1</v>
      </c>
      <c r="H14" s="87"/>
      <c r="I14" s="87" t="str">
        <f>I1&amp;".1"</f>
        <v>4.1</v>
      </c>
      <c r="J14" s="87"/>
      <c r="K14" s="87" t="str">
        <f>K1&amp;".1"</f>
        <v>4.1</v>
      </c>
      <c r="L14" s="87"/>
      <c r="M14" s="87" t="str">
        <f>M1&amp;".1"</f>
        <v>4.1</v>
      </c>
      <c r="N14" s="87"/>
      <c r="O14" s="87" t="str">
        <f>O1&amp;".1"</f>
        <v>4.1</v>
      </c>
      <c r="P14" s="87"/>
      <c r="Q14" s="67"/>
      <c r="AB14" s="11">
        <v>0</v>
      </c>
    </row>
    <row r="15" spans="1:28" ht="22.5" hidden="1" customHeight="1">
      <c r="A15" s="11"/>
      <c r="C15" s="77"/>
      <c r="D15" s="41">
        <v>1</v>
      </c>
      <c r="E15" s="153" t="s">
        <v>843</v>
      </c>
      <c r="F15" s="41" t="s">
        <v>844</v>
      </c>
      <c r="G15" s="384"/>
      <c r="H15" s="384"/>
      <c r="I15" s="384"/>
      <c r="J15" s="384"/>
      <c r="K15" s="384"/>
      <c r="L15" s="384"/>
      <c r="M15" s="384"/>
      <c r="N15" s="384"/>
      <c r="O15" s="384"/>
      <c r="P15" s="384"/>
      <c r="Q15" s="67" t="s">
        <v>845</v>
      </c>
      <c r="AB15" s="11">
        <v>0</v>
      </c>
    </row>
    <row r="16" spans="1:28" ht="22.5" hidden="1" customHeight="1">
      <c r="A16" s="11"/>
      <c r="C16" s="77"/>
      <c r="D16" s="41">
        <v>2</v>
      </c>
      <c r="E16" s="153" t="s">
        <v>846</v>
      </c>
      <c r="F16" s="41" t="s">
        <v>847</v>
      </c>
      <c r="G16" s="384"/>
      <c r="H16" s="384"/>
      <c r="I16" s="384"/>
      <c r="J16" s="384"/>
      <c r="K16" s="384"/>
      <c r="L16" s="384"/>
      <c r="M16" s="384"/>
      <c r="N16" s="384"/>
      <c r="O16" s="384"/>
      <c r="P16" s="384"/>
      <c r="Q16" s="67" t="s">
        <v>848</v>
      </c>
      <c r="AB16" s="11">
        <v>0</v>
      </c>
    </row>
    <row r="17" spans="1:28" ht="123.75" hidden="1" customHeight="1">
      <c r="A17" s="11"/>
      <c r="C17" s="77"/>
      <c r="D17" s="41">
        <v>3</v>
      </c>
      <c r="E17" s="153" t="s">
        <v>1333</v>
      </c>
      <c r="F17" s="41" t="s">
        <v>312</v>
      </c>
      <c r="G17" s="384"/>
      <c r="H17" s="384"/>
      <c r="I17" s="384"/>
      <c r="J17" s="384"/>
      <c r="K17" s="384"/>
      <c r="L17" s="384"/>
      <c r="M17" s="384"/>
      <c r="N17" s="384"/>
      <c r="O17" s="384"/>
      <c r="P17" s="384"/>
      <c r="Q17" s="67" t="s">
        <v>1334</v>
      </c>
      <c r="AB17" s="11">
        <v>0</v>
      </c>
    </row>
    <row r="18" spans="1:28" ht="48.2" customHeight="1">
      <c r="A18" s="11"/>
      <c r="C18" s="77"/>
      <c r="D18" s="41">
        <v>3</v>
      </c>
      <c r="E18" s="153" t="s">
        <v>849</v>
      </c>
      <c r="F18" s="41" t="s">
        <v>312</v>
      </c>
      <c r="G18" s="41" t="s">
        <v>312</v>
      </c>
      <c r="H18" s="340" t="s">
        <v>312</v>
      </c>
      <c r="I18" s="41" t="s">
        <v>312</v>
      </c>
      <c r="J18" s="340" t="s">
        <v>312</v>
      </c>
      <c r="K18" s="41" t="s">
        <v>312</v>
      </c>
      <c r="L18" s="340" t="s">
        <v>312</v>
      </c>
      <c r="M18" s="41" t="s">
        <v>312</v>
      </c>
      <c r="N18" s="340" t="s">
        <v>312</v>
      </c>
      <c r="O18" s="41" t="s">
        <v>312</v>
      </c>
      <c r="P18" s="340" t="s">
        <v>312</v>
      </c>
      <c r="Q18" s="67" t="s">
        <v>1335</v>
      </c>
      <c r="AB18" s="11">
        <v>46</v>
      </c>
    </row>
    <row r="19" spans="1:28" ht="35.65" customHeight="1">
      <c r="A19" s="11"/>
      <c r="C19" s="77"/>
      <c r="D19" s="43" t="s">
        <v>330</v>
      </c>
      <c r="E19" s="323" t="s">
        <v>851</v>
      </c>
      <c r="F19" s="41" t="s">
        <v>852</v>
      </c>
      <c r="G19" s="468"/>
      <c r="H19" s="37"/>
      <c r="I19" s="468"/>
      <c r="J19" s="228"/>
      <c r="K19" s="468"/>
      <c r="L19" s="37"/>
      <c r="M19" s="468"/>
      <c r="N19" s="37"/>
      <c r="O19" s="468"/>
      <c r="P19" s="37"/>
      <c r="Q19" s="385"/>
      <c r="AB19" s="11">
        <v>34</v>
      </c>
    </row>
    <row r="20" spans="1:28" ht="35.65" customHeight="1">
      <c r="A20" s="11"/>
      <c r="C20" s="77"/>
      <c r="D20" s="43" t="s">
        <v>338</v>
      </c>
      <c r="E20" s="323" t="s">
        <v>853</v>
      </c>
      <c r="F20" s="41" t="s">
        <v>854</v>
      </c>
      <c r="G20" s="468"/>
      <c r="H20" s="37"/>
      <c r="I20" s="468"/>
      <c r="J20" s="37"/>
      <c r="K20" s="468"/>
      <c r="L20" s="37"/>
      <c r="M20" s="468"/>
      <c r="N20" s="37"/>
      <c r="O20" s="468"/>
      <c r="P20" s="37"/>
      <c r="Q20" s="385"/>
      <c r="AB20" s="11">
        <v>34</v>
      </c>
    </row>
    <row r="21" spans="1:28" ht="48.2" customHeight="1">
      <c r="A21" s="11"/>
      <c r="C21" s="77"/>
      <c r="D21" s="43" t="s">
        <v>340</v>
      </c>
      <c r="E21" s="323" t="s">
        <v>855</v>
      </c>
      <c r="F21" s="41" t="s">
        <v>575</v>
      </c>
      <c r="G21" s="386"/>
      <c r="H21" s="37"/>
      <c r="I21" s="386"/>
      <c r="J21" s="37"/>
      <c r="K21" s="386"/>
      <c r="L21" s="37"/>
      <c r="M21" s="386"/>
      <c r="N21" s="37"/>
      <c r="O21" s="386"/>
      <c r="P21" s="37"/>
      <c r="Q21" s="385"/>
      <c r="AB21" s="11">
        <v>46</v>
      </c>
    </row>
    <row r="22" spans="1:28" ht="67.5" hidden="1" customHeight="1">
      <c r="A22" s="11"/>
      <c r="C22" s="77"/>
      <c r="D22" s="41">
        <v>5</v>
      </c>
      <c r="E22" s="153" t="s">
        <v>1336</v>
      </c>
      <c r="F22" s="41" t="s">
        <v>562</v>
      </c>
      <c r="G22" s="387"/>
      <c r="H22" s="388"/>
      <c r="I22" s="387"/>
      <c r="J22" s="388"/>
      <c r="K22" s="387"/>
      <c r="L22" s="388"/>
      <c r="M22" s="387"/>
      <c r="N22" s="388"/>
      <c r="O22" s="387"/>
      <c r="P22" s="388"/>
      <c r="Q22" s="67" t="s">
        <v>1337</v>
      </c>
      <c r="AB22" s="11">
        <v>0</v>
      </c>
    </row>
    <row r="23" spans="1:28" ht="33.75" hidden="1" customHeight="1">
      <c r="C23" s="77"/>
      <c r="D23" s="41">
        <v>6</v>
      </c>
      <c r="E23" s="153" t="s">
        <v>1338</v>
      </c>
      <c r="F23" s="41" t="s">
        <v>1339</v>
      </c>
      <c r="G23" s="387"/>
      <c r="H23" s="387"/>
      <c r="I23" s="387"/>
      <c r="J23" s="387"/>
      <c r="K23" s="387"/>
      <c r="L23" s="387"/>
      <c r="M23" s="387"/>
      <c r="N23" s="387"/>
      <c r="O23" s="387"/>
      <c r="P23" s="387"/>
      <c r="Q23" s="67" t="s">
        <v>1340</v>
      </c>
      <c r="AB23" s="11">
        <v>0</v>
      </c>
    </row>
    <row r="24" spans="1:28" ht="15.75" customHeight="1">
      <c r="AB24" s="11">
        <v>15</v>
      </c>
    </row>
    <row r="25" spans="1:28" ht="15.75" customHeight="1">
      <c r="AB25" s="11">
        <v>15</v>
      </c>
    </row>
    <row r="26" spans="1:28" ht="15.75" customHeight="1">
      <c r="AB26" s="11">
        <v>15</v>
      </c>
    </row>
    <row r="27" spans="1:28" ht="15.75" customHeight="1">
      <c r="AB27" s="11">
        <v>15</v>
      </c>
    </row>
    <row r="28" spans="1:28" ht="15.75" customHeight="1">
      <c r="AB28" s="11">
        <v>15</v>
      </c>
    </row>
    <row r="29" spans="1:28" ht="15.75" customHeight="1">
      <c r="J29" s="469"/>
      <c r="AB29" s="11">
        <v>15</v>
      </c>
    </row>
    <row r="30" spans="1:28" ht="22.5" hidden="1" customHeight="1">
      <c r="A30" s="8" t="s">
        <v>82</v>
      </c>
      <c r="B30" s="11">
        <v>0</v>
      </c>
      <c r="C30" s="87">
        <v>4</v>
      </c>
      <c r="D30" s="11">
        <v>6</v>
      </c>
      <c r="E30" s="11">
        <v>47</v>
      </c>
      <c r="F30" s="11">
        <v>9</v>
      </c>
      <c r="G30" s="11">
        <v>0</v>
      </c>
      <c r="H30" s="11">
        <v>0</v>
      </c>
      <c r="I30" s="11">
        <v>25</v>
      </c>
      <c r="J30" s="11">
        <v>33</v>
      </c>
      <c r="K30" s="11">
        <v>0</v>
      </c>
      <c r="L30" s="11">
        <v>0</v>
      </c>
      <c r="M30" s="11">
        <v>0</v>
      </c>
      <c r="N30" s="11">
        <v>0</v>
      </c>
      <c r="O30" s="11">
        <v>0</v>
      </c>
      <c r="P30" s="11">
        <v>0</v>
      </c>
      <c r="Q30" s="63">
        <v>50</v>
      </c>
      <c r="R30" s="11">
        <v>10</v>
      </c>
      <c r="S30" s="11">
        <v>10</v>
      </c>
      <c r="T30" s="11">
        <v>10</v>
      </c>
      <c r="U30" s="11">
        <v>10</v>
      </c>
      <c r="V30" s="11">
        <v>10</v>
      </c>
      <c r="W30" s="11">
        <v>10</v>
      </c>
      <c r="X30" s="11">
        <v>10</v>
      </c>
      <c r="Y30" s="11">
        <v>10</v>
      </c>
      <c r="Z30" s="11">
        <v>10</v>
      </c>
      <c r="AA30" s="302">
        <v>10</v>
      </c>
      <c r="AB30" s="11">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41.42578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8" width="34.57031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1341</v>
      </c>
      <c r="B1" s="628" t="s">
        <v>1342</v>
      </c>
      <c r="C1" s="628" t="s">
        <v>1343</v>
      </c>
      <c r="D1" s="628" t="s">
        <v>1344</v>
      </c>
      <c r="E1" s="628" t="s">
        <v>1345</v>
      </c>
      <c r="F1" s="628" t="s">
        <v>1346</v>
      </c>
      <c r="G1" s="628" t="s">
        <v>1347</v>
      </c>
      <c r="H1" s="628" t="s">
        <v>1348</v>
      </c>
      <c r="I1" s="628" t="s">
        <v>1349</v>
      </c>
      <c r="J1" s="628" t="s">
        <v>1350</v>
      </c>
      <c r="K1" s="628" t="s">
        <v>1351</v>
      </c>
      <c r="L1" s="628" t="s">
        <v>1352</v>
      </c>
      <c r="M1" s="628"/>
      <c r="N1" s="628" t="s">
        <v>1353</v>
      </c>
      <c r="O1" s="628" t="s">
        <v>1354</v>
      </c>
      <c r="P1" s="628" t="s">
        <v>1355</v>
      </c>
      <c r="Q1" s="628" t="s">
        <v>1356</v>
      </c>
      <c r="R1" s="628" t="s">
        <v>1357</v>
      </c>
      <c r="S1" s="628" t="s">
        <v>1358</v>
      </c>
      <c r="T1" s="628" t="s">
        <v>1359</v>
      </c>
      <c r="U1" s="628" t="s">
        <v>1360</v>
      </c>
      <c r="V1" s="628"/>
      <c r="W1" s="459" t="s">
        <v>1361</v>
      </c>
      <c r="X1" s="628" t="s">
        <v>1362</v>
      </c>
      <c r="Y1" s="628" t="s">
        <v>1363</v>
      </c>
      <c r="Z1" s="628"/>
      <c r="AA1" s="628" t="s">
        <v>1364</v>
      </c>
      <c r="AB1" s="628"/>
      <c r="AC1" s="628" t="s">
        <v>1365</v>
      </c>
      <c r="AD1" s="628"/>
      <c r="AF1" s="628" t="s">
        <v>1366</v>
      </c>
      <c r="AH1" s="628" t="s">
        <v>1367</v>
      </c>
      <c r="AI1" s="628" t="s">
        <v>1368</v>
      </c>
      <c r="AK1" s="628" t="s">
        <v>1369</v>
      </c>
      <c r="AM1" s="628" t="s">
        <v>1370</v>
      </c>
      <c r="AP1" s="628" t="s">
        <v>1371</v>
      </c>
      <c r="AQ1" s="628" t="s">
        <v>1372</v>
      </c>
      <c r="AS1" s="628" t="s">
        <v>1373</v>
      </c>
      <c r="AU1" s="628" t="s">
        <v>1374</v>
      </c>
      <c r="AW1" s="628" t="s">
        <v>1375</v>
      </c>
      <c r="AX1" s="628" t="s">
        <v>1376</v>
      </c>
      <c r="AZ1" s="669" t="s">
        <v>1377</v>
      </c>
      <c r="BB1" s="628" t="s">
        <v>1378</v>
      </c>
      <c r="BC1" s="628"/>
      <c r="BE1" s="628" t="s">
        <v>1379</v>
      </c>
      <c r="BF1" s="628" t="s">
        <v>1380</v>
      </c>
      <c r="BH1" s="630" t="s">
        <v>842</v>
      </c>
      <c r="BI1" s="188"/>
      <c r="BJ1" s="631" t="s">
        <v>1381</v>
      </c>
      <c r="BK1" s="188"/>
      <c r="BL1" s="632" t="s">
        <v>943</v>
      </c>
      <c r="BM1" s="188"/>
      <c r="BN1" s="633" t="s">
        <v>1382</v>
      </c>
    </row>
    <row r="2" spans="1:79" ht="11.25" customHeight="1">
      <c r="A2" s="34" t="s">
        <v>1383</v>
      </c>
      <c r="B2" s="634">
        <v>2000</v>
      </c>
      <c r="C2" s="634">
        <v>2022</v>
      </c>
      <c r="D2" s="634" t="s">
        <v>62</v>
      </c>
      <c r="E2" s="635" t="s">
        <v>1384</v>
      </c>
      <c r="F2" s="635" t="s">
        <v>1385</v>
      </c>
      <c r="G2" s="635" t="s">
        <v>1386</v>
      </c>
      <c r="H2" s="635" t="s">
        <v>54</v>
      </c>
      <c r="I2" s="635" t="s">
        <v>109</v>
      </c>
      <c r="J2" s="635" t="s">
        <v>1387</v>
      </c>
      <c r="K2" s="175" t="s">
        <v>1388</v>
      </c>
      <c r="L2" s="175"/>
      <c r="M2" s="175">
        <v>1</v>
      </c>
      <c r="N2" s="671" t="s">
        <v>1389</v>
      </c>
      <c r="O2" s="635" t="s">
        <v>1390</v>
      </c>
      <c r="P2" s="636" t="s">
        <v>38</v>
      </c>
      <c r="Q2" s="637" t="s">
        <v>1391</v>
      </c>
      <c r="R2" s="60" t="s">
        <v>1392</v>
      </c>
      <c r="S2" s="60" t="s">
        <v>1393</v>
      </c>
      <c r="T2" s="638" t="s">
        <v>1394</v>
      </c>
      <c r="U2" s="175" t="s">
        <v>1395</v>
      </c>
      <c r="V2" s="639">
        <v>1</v>
      </c>
      <c r="W2" s="640"/>
      <c r="X2" s="640" t="s">
        <v>1396</v>
      </c>
      <c r="Y2" s="634" t="s">
        <v>1397</v>
      </c>
      <c r="Z2" s="641"/>
      <c r="AA2" s="634" t="s">
        <v>1398</v>
      </c>
      <c r="AB2" s="642" t="s">
        <v>1398</v>
      </c>
      <c r="AC2" s="634" t="s">
        <v>1399</v>
      </c>
      <c r="AD2" s="642" t="s">
        <v>1399</v>
      </c>
      <c r="AF2" s="635" t="s">
        <v>1395</v>
      </c>
      <c r="AH2" s="635" t="s">
        <v>1400</v>
      </c>
      <c r="AI2" s="635" t="s">
        <v>1400</v>
      </c>
      <c r="AK2" s="635" t="s">
        <v>1401</v>
      </c>
      <c r="AM2" s="635" t="s">
        <v>1402</v>
      </c>
      <c r="AP2" s="32" t="s">
        <v>1396</v>
      </c>
      <c r="AQ2" s="643" t="s">
        <v>1396</v>
      </c>
      <c r="AS2" s="634" t="s">
        <v>1403</v>
      </c>
      <c r="AU2" s="664" t="s">
        <v>1404</v>
      </c>
      <c r="AW2" s="664" t="s">
        <v>1405</v>
      </c>
      <c r="AX2" s="664" t="s">
        <v>1405</v>
      </c>
      <c r="AZ2" s="664" t="s">
        <v>1406</v>
      </c>
      <c r="BB2" s="664" t="s">
        <v>1407</v>
      </c>
      <c r="BC2" s="664" t="s">
        <v>1408</v>
      </c>
      <c r="BE2" s="1096" t="s">
        <v>1409</v>
      </c>
      <c r="BF2" s="1096" t="s">
        <v>1409</v>
      </c>
    </row>
    <row r="3" spans="1:79" ht="11.25" customHeight="1">
      <c r="A3" s="34" t="s">
        <v>1410</v>
      </c>
      <c r="B3" s="634">
        <v>2001</v>
      </c>
      <c r="C3" s="634">
        <v>2023</v>
      </c>
      <c r="D3" s="634" t="s">
        <v>19</v>
      </c>
      <c r="E3" s="635" t="s">
        <v>1411</v>
      </c>
      <c r="F3" s="635" t="s">
        <v>1412</v>
      </c>
      <c r="G3" s="635" t="s">
        <v>1413</v>
      </c>
      <c r="H3" s="635" t="s">
        <v>1414</v>
      </c>
      <c r="I3" s="635" t="s">
        <v>110</v>
      </c>
      <c r="J3" s="635" t="s">
        <v>560</v>
      </c>
      <c r="K3" s="175" t="s">
        <v>1415</v>
      </c>
      <c r="L3" s="175">
        <f>IFERROR(MATCH(K3,OFFER_METHOD,0),0)</f>
        <v>0</v>
      </c>
      <c r="M3" s="175">
        <v>2</v>
      </c>
      <c r="N3" s="671" t="s">
        <v>1416</v>
      </c>
      <c r="O3" s="635" t="s">
        <v>1417</v>
      </c>
      <c r="P3" s="636" t="s">
        <v>1418</v>
      </c>
      <c r="Q3" s="637" t="s">
        <v>1419</v>
      </c>
      <c r="R3" s="60" t="s">
        <v>1420</v>
      </c>
      <c r="S3" s="60" t="s">
        <v>1421</v>
      </c>
      <c r="T3" s="638" t="s">
        <v>1422</v>
      </c>
      <c r="U3" s="175" t="s">
        <v>1423</v>
      </c>
      <c r="V3" s="639">
        <v>2</v>
      </c>
      <c r="W3" s="640"/>
      <c r="X3" s="640" t="s">
        <v>1424</v>
      </c>
      <c r="Y3" s="634" t="s">
        <v>1397</v>
      </c>
      <c r="Z3" s="641"/>
      <c r="AA3" s="634" t="s">
        <v>1425</v>
      </c>
      <c r="AB3" s="642" t="s">
        <v>1425</v>
      </c>
      <c r="AC3" s="634" t="s">
        <v>1426</v>
      </c>
      <c r="AD3" s="642" t="s">
        <v>1426</v>
      </c>
      <c r="AF3" s="635" t="s">
        <v>1423</v>
      </c>
      <c r="AH3" s="635" t="s">
        <v>1427</v>
      </c>
      <c r="AI3" s="635" t="s">
        <v>1428</v>
      </c>
      <c r="AK3" s="635" t="s">
        <v>1429</v>
      </c>
      <c r="AM3" s="635" t="s">
        <v>1430</v>
      </c>
      <c r="AP3" s="32" t="s">
        <v>1431</v>
      </c>
      <c r="AQ3" s="643" t="s">
        <v>1431</v>
      </c>
      <c r="AS3" s="634" t="s">
        <v>1432</v>
      </c>
      <c r="AU3" s="664" t="s">
        <v>1433</v>
      </c>
      <c r="AW3" s="664" t="s">
        <v>1434</v>
      </c>
      <c r="AX3" s="664" t="s">
        <v>1434</v>
      </c>
      <c r="AZ3" s="664" t="s">
        <v>1435</v>
      </c>
      <c r="BB3" s="664" t="s">
        <v>1436</v>
      </c>
      <c r="BC3" s="664" t="s">
        <v>1408</v>
      </c>
      <c r="BE3" s="1096" t="s">
        <v>1084</v>
      </c>
      <c r="BF3" s="1096" t="s">
        <v>1084</v>
      </c>
      <c r="BH3" s="628" t="s">
        <v>1437</v>
      </c>
      <c r="BJ3" s="628" t="s">
        <v>1438</v>
      </c>
      <c r="BL3" s="628" t="s">
        <v>1439</v>
      </c>
      <c r="BN3" s="628" t="s">
        <v>1440</v>
      </c>
      <c r="BR3" s="628" t="s">
        <v>1441</v>
      </c>
      <c r="BS3" s="805"/>
      <c r="BT3" s="188"/>
      <c r="BU3" s="628" t="s">
        <v>1442</v>
      </c>
      <c r="BV3" s="188"/>
      <c r="BW3"/>
      <c r="BX3" s="628" t="s">
        <v>1443</v>
      </c>
      <c r="CA3" s="628" t="s">
        <v>1444</v>
      </c>
    </row>
    <row r="4" spans="1:79" ht="11.25" customHeight="1">
      <c r="A4" s="34" t="s">
        <v>1445</v>
      </c>
      <c r="B4" s="634">
        <v>2002</v>
      </c>
      <c r="C4" s="634">
        <v>2024</v>
      </c>
      <c r="E4" s="635" t="s">
        <v>1446</v>
      </c>
      <c r="F4" s="635" t="s">
        <v>1447</v>
      </c>
      <c r="H4" s="635" t="s">
        <v>1448</v>
      </c>
      <c r="I4" s="635" t="s">
        <v>90</v>
      </c>
      <c r="J4" s="635" t="s">
        <v>1449</v>
      </c>
      <c r="K4" s="175" t="s">
        <v>1450</v>
      </c>
      <c r="L4" s="175">
        <f>IFERROR(MATCH(K4,OFFER_METHOD,0),0)</f>
        <v>0</v>
      </c>
      <c r="M4" s="175">
        <v>3</v>
      </c>
      <c r="N4" s="671" t="s">
        <v>1451</v>
      </c>
      <c r="O4" s="635" t="s">
        <v>1452</v>
      </c>
      <c r="Q4" s="637" t="s">
        <v>1453</v>
      </c>
      <c r="R4" s="60" t="s">
        <v>1454</v>
      </c>
      <c r="S4" s="60" t="s">
        <v>1455</v>
      </c>
      <c r="T4" s="638" t="s">
        <v>1456</v>
      </c>
      <c r="U4" s="175" t="s">
        <v>1457</v>
      </c>
      <c r="V4" s="639">
        <v>3</v>
      </c>
      <c r="W4" s="640"/>
      <c r="X4" s="640" t="s">
        <v>1458</v>
      </c>
      <c r="Y4" s="634" t="s">
        <v>1397</v>
      </c>
      <c r="Z4" s="17"/>
      <c r="AC4" s="634" t="s">
        <v>1459</v>
      </c>
      <c r="AD4" s="642" t="s">
        <v>1459</v>
      </c>
      <c r="AF4" s="635" t="s">
        <v>1457</v>
      </c>
      <c r="AH4" s="635" t="s">
        <v>1460</v>
      </c>
      <c r="AK4" s="635" t="s">
        <v>1461</v>
      </c>
      <c r="AM4" s="635" t="s">
        <v>1462</v>
      </c>
      <c r="AP4" s="32" t="s">
        <v>1424</v>
      </c>
      <c r="AQ4" s="643" t="s">
        <v>1424</v>
      </c>
      <c r="AS4" s="634" t="s">
        <v>1463</v>
      </c>
      <c r="AU4" s="664" t="s">
        <v>1464</v>
      </c>
      <c r="AW4" s="664" t="s">
        <v>1465</v>
      </c>
      <c r="AX4" s="664" t="s">
        <v>1465</v>
      </c>
      <c r="AZ4" s="664" t="s">
        <v>1466</v>
      </c>
      <c r="BB4" s="664" t="s">
        <v>1467</v>
      </c>
      <c r="BC4" s="664" t="s">
        <v>1468</v>
      </c>
      <c r="BE4" s="664">
        <v>2000</v>
      </c>
      <c r="BF4" s="664" t="s">
        <v>1129</v>
      </c>
      <c r="BH4" s="629" t="s">
        <v>1469</v>
      </c>
      <c r="BJ4" s="629" t="s">
        <v>1469</v>
      </c>
      <c r="BL4" s="629" t="s">
        <v>1469</v>
      </c>
      <c r="BN4" s="629" t="s">
        <v>1469</v>
      </c>
      <c r="BQ4" s="807" t="s">
        <v>1470</v>
      </c>
      <c r="BR4" s="32" t="s">
        <v>1471</v>
      </c>
      <c r="BS4" s="32"/>
      <c r="BT4" s="807" t="s">
        <v>1472</v>
      </c>
      <c r="BU4" s="32" t="s">
        <v>1473</v>
      </c>
      <c r="BV4" s="188"/>
      <c r="BW4" s="807" t="s">
        <v>1474</v>
      </c>
      <c r="BX4" s="32" t="s">
        <v>1475</v>
      </c>
      <c r="BZ4" s="807" t="s">
        <v>1476</v>
      </c>
      <c r="CA4" s="32" t="s">
        <v>1477</v>
      </c>
    </row>
    <row r="5" spans="1:79" ht="11.25" customHeight="1">
      <c r="A5" s="34" t="s">
        <v>1478</v>
      </c>
      <c r="B5" s="634">
        <v>2003</v>
      </c>
      <c r="C5" s="1102">
        <v>2025</v>
      </c>
      <c r="D5" s="908" t="s">
        <v>1479</v>
      </c>
      <c r="E5" s="638" t="s">
        <v>1480</v>
      </c>
      <c r="F5" s="635" t="s">
        <v>1481</v>
      </c>
      <c r="H5" s="635" t="s">
        <v>1482</v>
      </c>
      <c r="I5" s="635" t="s">
        <v>91</v>
      </c>
      <c r="K5" s="175" t="s">
        <v>1483</v>
      </c>
      <c r="L5" s="175">
        <f>IFERROR(MATCH(K5,OFFER_METHOD,0),0)</f>
        <v>0</v>
      </c>
      <c r="M5" s="175">
        <v>4</v>
      </c>
      <c r="N5" s="645" t="s">
        <v>1484</v>
      </c>
      <c r="O5" s="635" t="s">
        <v>1485</v>
      </c>
      <c r="Q5" s="637" t="s">
        <v>1486</v>
      </c>
      <c r="R5" s="60" t="s">
        <v>1487</v>
      </c>
      <c r="T5" s="635" t="s">
        <v>1488</v>
      </c>
      <c r="U5" s="175" t="s">
        <v>1489</v>
      </c>
      <c r="V5" s="639">
        <v>4</v>
      </c>
      <c r="W5" s="640"/>
      <c r="X5" s="640" t="s">
        <v>174</v>
      </c>
      <c r="Y5" s="634" t="s">
        <v>1490</v>
      </c>
      <c r="Z5" s="17">
        <v>1</v>
      </c>
      <c r="AF5" s="635" t="s">
        <v>1491</v>
      </c>
      <c r="AH5" s="635" t="s">
        <v>1492</v>
      </c>
      <c r="AK5" s="635" t="s">
        <v>1493</v>
      </c>
      <c r="AM5" s="635" t="s">
        <v>1494</v>
      </c>
      <c r="AP5" s="32" t="s">
        <v>174</v>
      </c>
      <c r="AQ5" s="643" t="s">
        <v>174</v>
      </c>
      <c r="AU5" s="664" t="s">
        <v>1495</v>
      </c>
      <c r="AW5" s="664" t="s">
        <v>1496</v>
      </c>
      <c r="AX5" s="664" t="s">
        <v>1496</v>
      </c>
      <c r="AZ5" s="664" t="s">
        <v>1497</v>
      </c>
      <c r="BB5" s="664" t="s">
        <v>1498</v>
      </c>
      <c r="BC5" s="664" t="s">
        <v>1499</v>
      </c>
      <c r="BE5" s="664">
        <v>2001</v>
      </c>
      <c r="BF5" s="664" t="s">
        <v>1500</v>
      </c>
      <c r="BH5" s="629" t="s">
        <v>1501</v>
      </c>
      <c r="BJ5" s="629" t="s">
        <v>1501</v>
      </c>
      <c r="BL5" s="629" t="s">
        <v>1501</v>
      </c>
      <c r="BN5" s="629" t="s">
        <v>1502</v>
      </c>
      <c r="BQ5" s="664">
        <v>4213775</v>
      </c>
      <c r="BR5" s="629" t="s">
        <v>1396</v>
      </c>
      <c r="BS5" s="740"/>
      <c r="BT5" s="664">
        <v>64236871</v>
      </c>
      <c r="BU5" s="629" t="s">
        <v>235</v>
      </c>
      <c r="BV5" s="188"/>
      <c r="BW5" s="664">
        <v>4213767</v>
      </c>
      <c r="BX5" s="629" t="s">
        <v>1503</v>
      </c>
      <c r="BZ5" s="664">
        <v>64237509</v>
      </c>
      <c r="CA5" s="745" t="s">
        <v>1504</v>
      </c>
    </row>
    <row r="6" spans="1:79" ht="11.25" customHeight="1">
      <c r="A6" s="34" t="s">
        <v>1505</v>
      </c>
      <c r="B6" s="634">
        <v>2004</v>
      </c>
      <c r="C6" s="1102">
        <v>2026</v>
      </c>
      <c r="D6" s="436"/>
      <c r="E6" s="638" t="s">
        <v>1506</v>
      </c>
      <c r="F6" s="35"/>
      <c r="H6" s="635" t="s">
        <v>1507</v>
      </c>
      <c r="I6" s="635" t="s">
        <v>111</v>
      </c>
      <c r="J6" s="628" t="s">
        <v>1508</v>
      </c>
      <c r="L6" s="175">
        <f>SUM(kind_of_control_method_filter)</f>
        <v>0</v>
      </c>
      <c r="N6" s="645" t="s">
        <v>1509</v>
      </c>
      <c r="O6" s="635" t="s">
        <v>1510</v>
      </c>
      <c r="R6" s="60" t="s">
        <v>1391</v>
      </c>
      <c r="T6" s="635" t="s">
        <v>1511</v>
      </c>
      <c r="U6" s="175" t="s">
        <v>1491</v>
      </c>
      <c r="V6" s="639">
        <v>5</v>
      </c>
      <c r="W6" s="640"/>
      <c r="X6" s="634" t="s">
        <v>180</v>
      </c>
      <c r="Y6" s="634" t="s">
        <v>1512</v>
      </c>
      <c r="Z6" s="17"/>
      <c r="AA6" s="197"/>
      <c r="AH6" s="635" t="s">
        <v>1513</v>
      </c>
      <c r="AK6" s="635" t="s">
        <v>1514</v>
      </c>
      <c r="AM6" s="635" t="s">
        <v>1515</v>
      </c>
      <c r="AP6" s="32" t="s">
        <v>180</v>
      </c>
      <c r="AQ6" s="643" t="s">
        <v>180</v>
      </c>
      <c r="AU6" s="664" t="s">
        <v>1516</v>
      </c>
      <c r="AW6" s="664" t="s">
        <v>1517</v>
      </c>
      <c r="AX6" s="664" t="s">
        <v>1517</v>
      </c>
      <c r="BB6" s="664" t="s">
        <v>1518</v>
      </c>
      <c r="BC6" s="664" t="s">
        <v>1499</v>
      </c>
      <c r="BE6" s="664">
        <v>2002</v>
      </c>
      <c r="BF6" s="664" t="s">
        <v>1519</v>
      </c>
      <c r="BH6" s="629" t="s">
        <v>1520</v>
      </c>
      <c r="BJ6" s="629" t="s">
        <v>1521</v>
      </c>
      <c r="BL6" s="629" t="s">
        <v>1521</v>
      </c>
      <c r="BN6" s="629" t="s">
        <v>1522</v>
      </c>
      <c r="BQ6" s="664">
        <v>4213784</v>
      </c>
      <c r="BR6" s="745" t="s">
        <v>1431</v>
      </c>
      <c r="BS6" s="806"/>
      <c r="BT6" s="664">
        <v>64236872</v>
      </c>
      <c r="BU6" s="629" t="s">
        <v>240</v>
      </c>
      <c r="BV6" s="188"/>
      <c r="BW6" s="664">
        <v>4213768</v>
      </c>
      <c r="BX6" s="629" t="s">
        <v>260</v>
      </c>
      <c r="BZ6" s="664">
        <v>64237510</v>
      </c>
      <c r="CA6" s="629" t="s">
        <v>1523</v>
      </c>
    </row>
    <row r="7" spans="1:79" ht="11.25" customHeight="1">
      <c r="A7" s="34" t="s">
        <v>1524</v>
      </c>
      <c r="B7" s="634">
        <v>2005</v>
      </c>
      <c r="E7" s="635" t="s">
        <v>1525</v>
      </c>
      <c r="F7" s="35"/>
      <c r="H7" s="635" t="s">
        <v>1526</v>
      </c>
      <c r="I7" s="635" t="s">
        <v>92</v>
      </c>
      <c r="J7" s="635" t="s">
        <v>1527</v>
      </c>
      <c r="N7" s="438" t="s">
        <v>1528</v>
      </c>
      <c r="O7" s="635" t="s">
        <v>1529</v>
      </c>
      <c r="U7" s="175" t="s">
        <v>19</v>
      </c>
      <c r="V7" s="214" t="s">
        <v>92</v>
      </c>
      <c r="W7" s="640"/>
      <c r="X7" s="634" t="s">
        <v>186</v>
      </c>
      <c r="Y7" s="634" t="s">
        <v>1490</v>
      </c>
      <c r="Z7" s="17"/>
      <c r="AA7" s="197"/>
      <c r="AH7" s="635" t="s">
        <v>1530</v>
      </c>
      <c r="AK7" s="635" t="s">
        <v>1531</v>
      </c>
      <c r="AM7" s="635" t="s">
        <v>1532</v>
      </c>
      <c r="AP7" s="32" t="s">
        <v>186</v>
      </c>
      <c r="AQ7" s="643" t="s">
        <v>186</v>
      </c>
      <c r="AU7" s="664" t="s">
        <v>1533</v>
      </c>
      <c r="AW7" s="664" t="s">
        <v>1534</v>
      </c>
      <c r="AX7" s="664" t="s">
        <v>1534</v>
      </c>
      <c r="AZ7" s="628" t="s">
        <v>1535</v>
      </c>
      <c r="BB7" s="664" t="s">
        <v>1536</v>
      </c>
      <c r="BC7" s="664" t="s">
        <v>1499</v>
      </c>
      <c r="BE7" s="664">
        <v>2003</v>
      </c>
      <c r="BF7" s="664" t="s">
        <v>1537</v>
      </c>
      <c r="BH7" s="629" t="s">
        <v>1538</v>
      </c>
      <c r="BJ7" s="629" t="s">
        <v>1520</v>
      </c>
      <c r="BL7" s="629" t="s">
        <v>1520</v>
      </c>
      <c r="BN7" s="629" t="s">
        <v>1539</v>
      </c>
      <c r="BQ7" s="664">
        <v>4213781</v>
      </c>
      <c r="BR7" s="629" t="s">
        <v>1424</v>
      </c>
      <c r="BS7" s="740"/>
      <c r="BT7" s="664">
        <v>64236873</v>
      </c>
      <c r="BU7" s="629" t="s">
        <v>245</v>
      </c>
      <c r="BV7" s="188"/>
      <c r="BW7" s="664">
        <v>4213769</v>
      </c>
      <c r="BX7" s="629" t="s">
        <v>1540</v>
      </c>
      <c r="BZ7" s="664">
        <v>64237511</v>
      </c>
      <c r="CA7" s="629" t="s">
        <v>275</v>
      </c>
    </row>
    <row r="8" spans="1:79" ht="11.25" customHeight="1">
      <c r="A8" s="34" t="s">
        <v>1541</v>
      </c>
      <c r="B8" s="634">
        <v>2006</v>
      </c>
      <c r="E8" s="635" t="s">
        <v>1542</v>
      </c>
      <c r="F8" s="35"/>
      <c r="H8" s="635" t="s">
        <v>1543</v>
      </c>
      <c r="I8" s="635" t="s">
        <v>93</v>
      </c>
      <c r="J8" s="635" t="s">
        <v>1544</v>
      </c>
      <c r="N8" s="672" t="s">
        <v>1545</v>
      </c>
      <c r="O8" s="635" t="s">
        <v>1546</v>
      </c>
      <c r="V8" s="214" t="s">
        <v>93</v>
      </c>
      <c r="W8" s="640"/>
      <c r="X8" s="634" t="s">
        <v>192</v>
      </c>
      <c r="Y8" s="634" t="s">
        <v>1490</v>
      </c>
      <c r="Z8" s="17"/>
      <c r="AA8" s="197"/>
      <c r="AK8" s="635" t="s">
        <v>1547</v>
      </c>
      <c r="AP8" s="32" t="s">
        <v>192</v>
      </c>
      <c r="AQ8" s="643" t="s">
        <v>192</v>
      </c>
      <c r="AU8" s="664" t="s">
        <v>1548</v>
      </c>
      <c r="AW8" s="664" t="s">
        <v>1549</v>
      </c>
      <c r="AX8" s="664" t="s">
        <v>1549</v>
      </c>
      <c r="AZ8" s="664" t="s">
        <v>1287</v>
      </c>
      <c r="BB8" s="664" t="s">
        <v>1550</v>
      </c>
      <c r="BC8" s="664" t="s">
        <v>1499</v>
      </c>
      <c r="BE8" s="664">
        <v>2004</v>
      </c>
      <c r="BF8" s="664" t="s">
        <v>1551</v>
      </c>
      <c r="BH8" s="629" t="s">
        <v>1552</v>
      </c>
      <c r="BJ8" s="629" t="s">
        <v>1088</v>
      </c>
      <c r="BL8" s="629" t="s">
        <v>1088</v>
      </c>
      <c r="BN8" s="629" t="s">
        <v>1094</v>
      </c>
      <c r="BQ8" s="664">
        <v>4213776</v>
      </c>
      <c r="BR8" s="629" t="s">
        <v>174</v>
      </c>
      <c r="BS8" s="740"/>
      <c r="BT8" s="664">
        <v>64236874</v>
      </c>
      <c r="BU8" s="745" t="s">
        <v>1553</v>
      </c>
      <c r="BV8" s="188"/>
      <c r="BW8" s="664">
        <v>4213770</v>
      </c>
      <c r="BX8" s="745" t="s">
        <v>1554</v>
      </c>
      <c r="BZ8" s="664">
        <v>64237512</v>
      </c>
      <c r="CA8" s="629" t="s">
        <v>270</v>
      </c>
    </row>
    <row r="9" spans="1:79" ht="11.25" customHeight="1">
      <c r="A9" s="34" t="s">
        <v>1555</v>
      </c>
      <c r="B9" s="634">
        <v>2007</v>
      </c>
      <c r="E9" s="635" t="s">
        <v>1556</v>
      </c>
      <c r="F9" s="628" t="s">
        <v>1557</v>
      </c>
      <c r="G9" s="628" t="s">
        <v>1558</v>
      </c>
      <c r="H9" s="628" t="s">
        <v>1559</v>
      </c>
      <c r="I9" s="635" t="s">
        <v>112</v>
      </c>
      <c r="O9" s="635" t="s">
        <v>1560</v>
      </c>
      <c r="V9" s="214" t="s">
        <v>112</v>
      </c>
      <c r="W9" s="640"/>
      <c r="X9" s="634" t="s">
        <v>198</v>
      </c>
      <c r="Y9" s="634" t="s">
        <v>1397</v>
      </c>
      <c r="Z9" s="17">
        <v>1</v>
      </c>
      <c r="AA9" s="197"/>
      <c r="AK9" s="635" t="s">
        <v>1561</v>
      </c>
      <c r="AP9" s="32" t="s">
        <v>1562</v>
      </c>
      <c r="AQ9" s="643" t="s">
        <v>1562</v>
      </c>
      <c r="AW9" s="664" t="s">
        <v>1563</v>
      </c>
      <c r="AX9" s="664" t="s">
        <v>1563</v>
      </c>
      <c r="AZ9" s="664" t="s">
        <v>1564</v>
      </c>
      <c r="BB9" s="664" t="s">
        <v>1565</v>
      </c>
      <c r="BC9" s="664" t="s">
        <v>1499</v>
      </c>
      <c r="BE9" s="664">
        <v>2005</v>
      </c>
      <c r="BF9" s="664" t="s">
        <v>1093</v>
      </c>
      <c r="BH9" s="629" t="s">
        <v>1566</v>
      </c>
      <c r="BJ9" s="629" t="s">
        <v>1567</v>
      </c>
      <c r="BL9" s="629" t="s">
        <v>1567</v>
      </c>
      <c r="BN9" s="629" t="s">
        <v>1568</v>
      </c>
      <c r="BQ9" s="664">
        <v>4213777</v>
      </c>
      <c r="BR9" s="629" t="s">
        <v>180</v>
      </c>
      <c r="BS9" s="740"/>
      <c r="BT9" s="664">
        <v>64236875</v>
      </c>
      <c r="BU9" s="629" t="s">
        <v>250</v>
      </c>
      <c r="BV9" s="188"/>
      <c r="BW9"/>
      <c r="BX9"/>
    </row>
    <row r="10" spans="1:79" ht="11.25" customHeight="1">
      <c r="A10" s="34" t="s">
        <v>1569</v>
      </c>
      <c r="B10" s="634">
        <v>2008</v>
      </c>
      <c r="E10" s="175" t="s">
        <v>1570</v>
      </c>
      <c r="F10" s="635" t="s">
        <v>1571</v>
      </c>
      <c r="G10" s="638" t="s">
        <v>1572</v>
      </c>
      <c r="H10" s="635" t="s">
        <v>1573</v>
      </c>
      <c r="I10" s="635" t="s">
        <v>156</v>
      </c>
      <c r="J10" s="628" t="s">
        <v>1574</v>
      </c>
      <c r="K10" s="628" t="s">
        <v>1575</v>
      </c>
      <c r="O10" s="635" t="s">
        <v>1576</v>
      </c>
      <c r="V10" s="215" t="s">
        <v>156</v>
      </c>
      <c r="W10" s="646"/>
      <c r="X10" s="646" t="s">
        <v>1577</v>
      </c>
      <c r="Y10" s="647" t="s">
        <v>1578</v>
      </c>
      <c r="Z10" s="17"/>
      <c r="AP10" s="32" t="s">
        <v>1577</v>
      </c>
      <c r="AQ10" s="643" t="s">
        <v>1577</v>
      </c>
      <c r="AW10" s="664" t="s">
        <v>1579</v>
      </c>
      <c r="AX10" s="664" t="s">
        <v>1579</v>
      </c>
      <c r="AZ10" s="664" t="s">
        <v>1285</v>
      </c>
      <c r="BB10" s="664" t="s">
        <v>1580</v>
      </c>
      <c r="BC10" s="664" t="s">
        <v>1499</v>
      </c>
      <c r="BE10" s="664">
        <v>2006</v>
      </c>
      <c r="BF10" s="664" t="s">
        <v>1581</v>
      </c>
      <c r="BH10" s="629" t="s">
        <v>1582</v>
      </c>
      <c r="BJ10" s="629" t="s">
        <v>1583</v>
      </c>
      <c r="BL10" s="629" t="s">
        <v>1583</v>
      </c>
      <c r="BN10" s="629" t="s">
        <v>1584</v>
      </c>
      <c r="BQ10" s="664">
        <v>4213778</v>
      </c>
      <c r="BR10" s="629" t="s">
        <v>186</v>
      </c>
      <c r="BS10" s="740"/>
      <c r="BT10" s="664">
        <v>64236876</v>
      </c>
      <c r="BU10" s="629" t="s">
        <v>230</v>
      </c>
      <c r="BV10" s="188"/>
      <c r="BW10"/>
      <c r="BX10"/>
    </row>
    <row r="11" spans="1:79" ht="11.25" customHeight="1">
      <c r="A11" s="34" t="s">
        <v>1585</v>
      </c>
      <c r="B11" s="634">
        <v>2009</v>
      </c>
      <c r="E11" s="175" t="s">
        <v>1586</v>
      </c>
      <c r="F11" s="635" t="s">
        <v>1587</v>
      </c>
      <c r="G11" s="638" t="s">
        <v>1588</v>
      </c>
      <c r="H11" s="635" t="s">
        <v>1589</v>
      </c>
      <c r="I11" s="635" t="s">
        <v>157</v>
      </c>
      <c r="J11" s="635" t="s">
        <v>1590</v>
      </c>
      <c r="K11" s="648" t="s">
        <v>1591</v>
      </c>
      <c r="O11" s="635" t="s">
        <v>1592</v>
      </c>
      <c r="V11" s="214" t="s">
        <v>157</v>
      </c>
      <c r="W11" s="161"/>
      <c r="X11" s="640" t="s">
        <v>1562</v>
      </c>
      <c r="Y11" s="634" t="s">
        <v>1593</v>
      </c>
      <c r="Z11" s="17"/>
      <c r="AP11" s="32" t="s">
        <v>198</v>
      </c>
      <c r="AQ11" s="644" t="s">
        <v>198</v>
      </c>
      <c r="AW11" s="664" t="s">
        <v>1594</v>
      </c>
      <c r="AX11" s="664" t="s">
        <v>1594</v>
      </c>
      <c r="AZ11" s="664" t="s">
        <v>1595</v>
      </c>
      <c r="BB11" s="664" t="s">
        <v>1596</v>
      </c>
      <c r="BC11" s="664" t="s">
        <v>1499</v>
      </c>
      <c r="BE11" s="664">
        <v>2007</v>
      </c>
      <c r="BF11" s="664" t="s">
        <v>1154</v>
      </c>
      <c r="BH11" s="629" t="s">
        <v>1597</v>
      </c>
      <c r="BJ11" s="629" t="s">
        <v>1566</v>
      </c>
      <c r="BL11" s="629" t="s">
        <v>1566</v>
      </c>
      <c r="BN11" s="629" t="s">
        <v>1598</v>
      </c>
      <c r="BQ11" s="664">
        <v>4213780</v>
      </c>
      <c r="BR11" s="629" t="s">
        <v>192</v>
      </c>
      <c r="BS11" s="740"/>
      <c r="BW11"/>
      <c r="BX11"/>
    </row>
    <row r="12" spans="1:79" ht="11.25" customHeight="1">
      <c r="A12" s="34" t="s">
        <v>1599</v>
      </c>
      <c r="B12" s="634">
        <v>2010</v>
      </c>
      <c r="E12" s="175" t="s">
        <v>1600</v>
      </c>
      <c r="F12" s="635" t="s">
        <v>1601</v>
      </c>
      <c r="G12" s="638" t="s">
        <v>1589</v>
      </c>
      <c r="I12" s="635" t="s">
        <v>158</v>
      </c>
      <c r="J12" s="635" t="s">
        <v>1602</v>
      </c>
      <c r="K12" s="648" t="s">
        <v>1603</v>
      </c>
      <c r="O12" s="635" t="s">
        <v>1391</v>
      </c>
      <c r="V12" s="214" t="s">
        <v>158</v>
      </c>
      <c r="W12" s="644"/>
      <c r="X12" s="640" t="s">
        <v>1604</v>
      </c>
      <c r="Y12" s="634" t="s">
        <v>1397</v>
      </c>
      <c r="AP12" s="32"/>
      <c r="AW12" s="664" t="s">
        <v>157</v>
      </c>
      <c r="AX12" s="664" t="s">
        <v>157</v>
      </c>
      <c r="AZ12" s="664" t="s">
        <v>1605</v>
      </c>
      <c r="BB12" s="664" t="s">
        <v>1606</v>
      </c>
      <c r="BC12" s="664" t="s">
        <v>1499</v>
      </c>
      <c r="BE12" s="664">
        <v>2008</v>
      </c>
      <c r="BF12" s="664" t="s">
        <v>1115</v>
      </c>
      <c r="BH12" s="629" t="s">
        <v>1607</v>
      </c>
      <c r="BJ12" s="629" t="s">
        <v>1077</v>
      </c>
      <c r="BL12" s="629" t="s">
        <v>1077</v>
      </c>
      <c r="BN12" s="629" t="s">
        <v>1608</v>
      </c>
      <c r="BQ12" s="664">
        <v>4213779</v>
      </c>
      <c r="BR12" s="629" t="s">
        <v>1562</v>
      </c>
      <c r="BS12" s="740"/>
      <c r="BT12" s="188"/>
      <c r="BU12" s="188"/>
      <c r="BV12" s="188"/>
      <c r="BW12"/>
      <c r="BX12"/>
    </row>
    <row r="13" spans="1:79" ht="11.25" customHeight="1">
      <c r="A13" s="34" t="s">
        <v>1609</v>
      </c>
      <c r="B13" s="634">
        <v>2011</v>
      </c>
      <c r="E13" s="635" t="s">
        <v>1610</v>
      </c>
      <c r="F13" s="35"/>
      <c r="I13" s="635" t="s">
        <v>159</v>
      </c>
      <c r="K13" s="648" t="s">
        <v>1561</v>
      </c>
      <c r="V13" s="214" t="s">
        <v>159</v>
      </c>
      <c r="W13" s="644"/>
      <c r="X13" s="644"/>
      <c r="Y13" s="644"/>
      <c r="AW13" s="664" t="s">
        <v>158</v>
      </c>
      <c r="AX13" s="664" t="s">
        <v>158</v>
      </c>
      <c r="BB13" s="664" t="s">
        <v>1611</v>
      </c>
      <c r="BC13" s="664" t="s">
        <v>1612</v>
      </c>
      <c r="BE13" s="664">
        <v>2009</v>
      </c>
      <c r="BF13" s="664" t="s">
        <v>1068</v>
      </c>
      <c r="BH13" s="629" t="s">
        <v>1613</v>
      </c>
      <c r="BJ13" s="629" t="s">
        <v>1597</v>
      </c>
      <c r="BL13" s="629" t="s">
        <v>1597</v>
      </c>
      <c r="BN13" s="629" t="s">
        <v>1614</v>
      </c>
      <c r="BQ13" s="664">
        <v>4213783</v>
      </c>
      <c r="BR13" s="629" t="s">
        <v>1577</v>
      </c>
      <c r="BS13" s="740"/>
      <c r="BT13" s="188"/>
      <c r="BU13" s="188"/>
      <c r="BV13" s="188"/>
      <c r="BW13" s="188"/>
      <c r="BX13"/>
    </row>
    <row r="14" spans="1:79" ht="11.25" customHeight="1">
      <c r="A14" s="34" t="s">
        <v>1615</v>
      </c>
      <c r="B14" s="634">
        <v>2012</v>
      </c>
      <c r="I14" s="635" t="s">
        <v>160</v>
      </c>
      <c r="J14" s="628" t="s">
        <v>1616</v>
      </c>
      <c r="N14" s="628" t="s">
        <v>1617</v>
      </c>
      <c r="V14" s="639">
        <v>13</v>
      </c>
      <c r="W14" s="640"/>
      <c r="X14" s="640" t="s">
        <v>1431</v>
      </c>
      <c r="Y14" s="634" t="s">
        <v>1397</v>
      </c>
      <c r="AW14" s="664" t="s">
        <v>159</v>
      </c>
      <c r="AX14" s="664" t="s">
        <v>159</v>
      </c>
      <c r="AZ14" s="628" t="s">
        <v>1618</v>
      </c>
      <c r="BB14" s="664" t="s">
        <v>1619</v>
      </c>
      <c r="BC14" s="664" t="s">
        <v>1612</v>
      </c>
      <c r="BE14" s="664">
        <v>2010</v>
      </c>
      <c r="BF14" s="664" t="s">
        <v>1081</v>
      </c>
      <c r="BH14" s="629" t="s">
        <v>1539</v>
      </c>
      <c r="BJ14" s="708" t="s">
        <v>1620</v>
      </c>
      <c r="BL14" s="708" t="s">
        <v>1620</v>
      </c>
      <c r="BN14" s="629" t="s">
        <v>1621</v>
      </c>
      <c r="BQ14" s="664">
        <v>4213782</v>
      </c>
      <c r="BR14" s="629" t="s">
        <v>198</v>
      </c>
      <c r="BS14" s="740"/>
      <c r="BT14" s="188"/>
      <c r="BU14" s="188"/>
      <c r="BV14" s="188"/>
      <c r="BW14" s="188"/>
      <c r="BX14"/>
    </row>
    <row r="15" spans="1:79" ht="19.5" customHeight="1">
      <c r="A15" s="34" t="s">
        <v>1622</v>
      </c>
      <c r="B15" s="634">
        <v>2013</v>
      </c>
      <c r="E15" s="908" t="s">
        <v>1623</v>
      </c>
      <c r="G15" s="628" t="s">
        <v>1624</v>
      </c>
      <c r="H15" s="628" t="s">
        <v>1625</v>
      </c>
      <c r="I15" s="175" t="s">
        <v>161</v>
      </c>
      <c r="J15" s="644" t="s">
        <v>591</v>
      </c>
      <c r="N15" s="670" t="s">
        <v>1626</v>
      </c>
      <c r="X15" s="32"/>
      <c r="AW15" s="664" t="s">
        <v>160</v>
      </c>
      <c r="AX15" s="664" t="s">
        <v>160</v>
      </c>
      <c r="AZ15" s="664" t="s">
        <v>1287</v>
      </c>
      <c r="BB15" s="664" t="s">
        <v>1627</v>
      </c>
      <c r="BC15" s="664" t="s">
        <v>1612</v>
      </c>
      <c r="BE15" s="664">
        <v>2011</v>
      </c>
      <c r="BF15" s="664" t="s">
        <v>1070</v>
      </c>
      <c r="BH15" s="629" t="s">
        <v>1094</v>
      </c>
      <c r="BJ15" s="708" t="s">
        <v>1628</v>
      </c>
      <c r="BL15" s="708" t="s">
        <v>1628</v>
      </c>
      <c r="BN15" s="629" t="s">
        <v>1629</v>
      </c>
      <c r="BR15" s="188"/>
      <c r="BS15" s="188"/>
      <c r="BT15" s="188"/>
      <c r="BU15" s="188"/>
      <c r="BV15" s="188"/>
      <c r="BW15" s="188"/>
      <c r="BX15"/>
    </row>
    <row r="16" spans="1:79" ht="21" customHeight="1">
      <c r="A16" s="1007" t="s">
        <v>1630</v>
      </c>
      <c r="B16" s="634">
        <v>2014</v>
      </c>
      <c r="E16" s="909" t="s">
        <v>1631</v>
      </c>
      <c r="G16" s="635" t="s">
        <v>1632</v>
      </c>
      <c r="H16" s="635" t="s">
        <v>1633</v>
      </c>
      <c r="I16" s="175" t="s">
        <v>1109</v>
      </c>
      <c r="J16" s="644" t="s">
        <v>560</v>
      </c>
      <c r="N16" s="670" t="s">
        <v>1634</v>
      </c>
      <c r="AW16" s="664" t="s">
        <v>161</v>
      </c>
      <c r="AX16" s="664" t="s">
        <v>161</v>
      </c>
      <c r="AZ16" s="664" t="s">
        <v>1564</v>
      </c>
      <c r="BB16" s="664" t="s">
        <v>1635</v>
      </c>
      <c r="BC16" s="664" t="s">
        <v>1612</v>
      </c>
      <c r="BE16" s="664">
        <v>2012</v>
      </c>
      <c r="BH16" s="629" t="s">
        <v>1568</v>
      </c>
      <c r="BJ16" s="708" t="s">
        <v>1636</v>
      </c>
      <c r="BL16" s="708" t="s">
        <v>1636</v>
      </c>
      <c r="BN16" s="629" t="s">
        <v>1637</v>
      </c>
      <c r="BR16" s="188"/>
      <c r="BS16" s="188"/>
      <c r="BT16" s="188"/>
      <c r="BU16" s="188"/>
      <c r="BV16" s="188"/>
      <c r="BW16" s="188"/>
      <c r="BX16"/>
    </row>
    <row r="17" spans="1:82" ht="21" customHeight="1">
      <c r="A17" s="34" t="s">
        <v>1638</v>
      </c>
      <c r="B17" s="634">
        <v>2015</v>
      </c>
      <c r="G17" s="635" t="s">
        <v>1589</v>
      </c>
      <c r="H17" s="635" t="s">
        <v>1589</v>
      </c>
      <c r="I17" s="635" t="s">
        <v>1111</v>
      </c>
      <c r="N17" s="670" t="s">
        <v>1639</v>
      </c>
      <c r="X17" s="32"/>
      <c r="AW17" s="664" t="s">
        <v>1109</v>
      </c>
      <c r="AX17" s="664" t="s">
        <v>1109</v>
      </c>
      <c r="AZ17" s="664" t="s">
        <v>67</v>
      </c>
      <c r="BB17" s="664" t="s">
        <v>1640</v>
      </c>
      <c r="BC17" s="664" t="s">
        <v>1499</v>
      </c>
      <c r="BE17" s="664">
        <v>2013</v>
      </c>
      <c r="BH17" s="629" t="s">
        <v>1584</v>
      </c>
      <c r="BJ17" s="708" t="s">
        <v>1641</v>
      </c>
      <c r="BL17" s="708" t="s">
        <v>1641</v>
      </c>
      <c r="BN17" s="629" t="s">
        <v>1642</v>
      </c>
      <c r="BR17" s="628" t="s">
        <v>1441</v>
      </c>
      <c r="BS17" s="805"/>
      <c r="BU17" s="628" t="s">
        <v>1643</v>
      </c>
      <c r="BV17" s="188"/>
      <c r="BW17"/>
      <c r="BX17" s="628" t="s">
        <v>1644</v>
      </c>
      <c r="CA17" s="628" t="s">
        <v>1645</v>
      </c>
      <c r="CD17" s="628" t="s">
        <v>1646</v>
      </c>
    </row>
    <row r="18" spans="1:82" ht="21" customHeight="1">
      <c r="A18" s="34" t="s">
        <v>1647</v>
      </c>
      <c r="B18" s="634">
        <v>2016</v>
      </c>
      <c r="E18" s="1056" t="s">
        <v>1648</v>
      </c>
      <c r="I18" s="635" t="s">
        <v>1113</v>
      </c>
      <c r="N18" s="670" t="s">
        <v>1649</v>
      </c>
      <c r="X18" s="32"/>
      <c r="AW18" s="664" t="s">
        <v>1111</v>
      </c>
      <c r="AX18" s="664" t="s">
        <v>1111</v>
      </c>
      <c r="BB18" s="664" t="s">
        <v>1650</v>
      </c>
      <c r="BC18" s="664" t="s">
        <v>1499</v>
      </c>
      <c r="BE18" s="664">
        <v>2014</v>
      </c>
      <c r="BH18" s="629" t="s">
        <v>1598</v>
      </c>
      <c r="BJ18" s="708" t="s">
        <v>1651</v>
      </c>
      <c r="BL18" s="708" t="s">
        <v>1651</v>
      </c>
      <c r="BN18" s="629" t="s">
        <v>1108</v>
      </c>
      <c r="BQ18" s="807" t="s">
        <v>1470</v>
      </c>
      <c r="BR18" s="32" t="s">
        <v>1471</v>
      </c>
      <c r="BS18" s="32"/>
      <c r="BT18" s="807" t="s">
        <v>1652</v>
      </c>
      <c r="BU18" s="32" t="s">
        <v>1653</v>
      </c>
      <c r="BV18" s="188"/>
      <c r="BW18" s="807" t="s">
        <v>1654</v>
      </c>
      <c r="BX18" s="32" t="s">
        <v>1655</v>
      </c>
      <c r="BZ18" s="807" t="s">
        <v>1656</v>
      </c>
      <c r="CA18" s="32" t="s">
        <v>1657</v>
      </c>
      <c r="CC18" s="807" t="s">
        <v>1658</v>
      </c>
      <c r="CD18" s="32" t="s">
        <v>1659</v>
      </c>
    </row>
    <row r="19" spans="1:82" ht="21" customHeight="1">
      <c r="A19" s="1007" t="s">
        <v>1660</v>
      </c>
      <c r="B19" s="634">
        <v>2017</v>
      </c>
      <c r="E19" s="34" t="s">
        <v>173</v>
      </c>
      <c r="I19" s="635" t="s">
        <v>1116</v>
      </c>
      <c r="N19" s="670" t="s">
        <v>1661</v>
      </c>
      <c r="X19" s="32"/>
      <c r="AW19" s="664" t="s">
        <v>1113</v>
      </c>
      <c r="AX19" s="664" t="s">
        <v>1113</v>
      </c>
      <c r="AZ19" s="628" t="s">
        <v>1662</v>
      </c>
      <c r="BB19" s="664" t="s">
        <v>1663</v>
      </c>
      <c r="BC19" s="664" t="s">
        <v>1499</v>
      </c>
      <c r="BE19" s="664">
        <v>2015</v>
      </c>
      <c r="BH19" s="629" t="s">
        <v>1664</v>
      </c>
      <c r="BJ19" s="708" t="s">
        <v>1665</v>
      </c>
      <c r="BL19" s="708" t="s">
        <v>1665</v>
      </c>
      <c r="BQ19" s="664">
        <v>4190064</v>
      </c>
      <c r="BR19" s="629" t="s">
        <v>1666</v>
      </c>
      <c r="BS19" s="740"/>
      <c r="BT19" s="664">
        <v>4189671</v>
      </c>
      <c r="BU19" s="629" t="s">
        <v>1667</v>
      </c>
      <c r="BV19" s="188"/>
      <c r="BW19" s="664">
        <v>4189706</v>
      </c>
      <c r="BX19" s="629" t="s">
        <v>1668</v>
      </c>
      <c r="BZ19" s="664">
        <v>4189714</v>
      </c>
      <c r="CA19" s="629" t="s">
        <v>1669</v>
      </c>
      <c r="CC19" s="664">
        <v>4189708</v>
      </c>
      <c r="CD19" s="629" t="s">
        <v>1670</v>
      </c>
    </row>
    <row r="20" spans="1:82" ht="21" customHeight="1">
      <c r="A20" s="34" t="s">
        <v>1671</v>
      </c>
      <c r="B20" s="634">
        <v>2018</v>
      </c>
      <c r="E20" s="34" t="s">
        <v>1431</v>
      </c>
      <c r="I20" s="635" t="s">
        <v>1118</v>
      </c>
      <c r="N20" s="670" t="s">
        <v>1672</v>
      </c>
      <c r="AW20" s="664" t="s">
        <v>1116</v>
      </c>
      <c r="AX20" s="664" t="s">
        <v>1116</v>
      </c>
      <c r="AZ20" s="664" t="s">
        <v>1673</v>
      </c>
      <c r="BB20" s="664" t="s">
        <v>1674</v>
      </c>
      <c r="BC20" s="664" t="s">
        <v>1612</v>
      </c>
      <c r="BE20" s="664">
        <v>2016</v>
      </c>
      <c r="BH20" s="629" t="s">
        <v>1608</v>
      </c>
      <c r="BJ20" s="629" t="s">
        <v>1539</v>
      </c>
      <c r="BL20" s="629" t="s">
        <v>1539</v>
      </c>
      <c r="BQ20" s="664">
        <v>4190065</v>
      </c>
      <c r="BR20" s="629" t="s">
        <v>1675</v>
      </c>
      <c r="BS20" s="740"/>
      <c r="BT20" s="664">
        <v>4189672</v>
      </c>
      <c r="BU20" s="629" t="s">
        <v>1676</v>
      </c>
      <c r="BV20" s="188"/>
      <c r="BW20" s="664">
        <v>4189705</v>
      </c>
      <c r="BX20" s="629" t="s">
        <v>1677</v>
      </c>
      <c r="BZ20" s="664">
        <v>4189713</v>
      </c>
      <c r="CA20" s="629" t="s">
        <v>1677</v>
      </c>
      <c r="CC20" s="664">
        <v>4189709</v>
      </c>
      <c r="CD20" s="629" t="s">
        <v>1678</v>
      </c>
    </row>
    <row r="21" spans="1:82" ht="21" customHeight="1">
      <c r="A21" s="34" t="s">
        <v>1679</v>
      </c>
      <c r="B21" s="634">
        <v>2019</v>
      </c>
      <c r="I21" s="635" t="s">
        <v>1087</v>
      </c>
      <c r="N21" s="670" t="s">
        <v>1680</v>
      </c>
      <c r="AW21" s="664" t="s">
        <v>1118</v>
      </c>
      <c r="AX21" s="664" t="s">
        <v>1118</v>
      </c>
      <c r="AZ21" s="664" t="s">
        <v>1681</v>
      </c>
      <c r="BB21" s="664" t="s">
        <v>1682</v>
      </c>
      <c r="BC21" s="664" t="s">
        <v>1499</v>
      </c>
      <c r="BE21" s="664">
        <v>2017</v>
      </c>
      <c r="BH21" s="629" t="s">
        <v>1614</v>
      </c>
      <c r="BJ21" s="629" t="s">
        <v>1094</v>
      </c>
      <c r="BL21" s="629" t="s">
        <v>1094</v>
      </c>
      <c r="BQ21" s="664">
        <v>4190066</v>
      </c>
      <c r="BR21" s="629" t="s">
        <v>1683</v>
      </c>
      <c r="BS21" s="740"/>
      <c r="BT21" s="664">
        <v>4189673</v>
      </c>
      <c r="BU21" s="629" t="s">
        <v>1684</v>
      </c>
      <c r="BV21" s="188"/>
      <c r="BW21" s="664">
        <v>4189707</v>
      </c>
      <c r="BX21" s="629" t="s">
        <v>1685</v>
      </c>
      <c r="BZ21" s="664">
        <v>4189712</v>
      </c>
      <c r="CA21" s="629" t="s">
        <v>1686</v>
      </c>
      <c r="CC21" s="664">
        <v>4189710</v>
      </c>
      <c r="CD21" s="629" t="s">
        <v>1687</v>
      </c>
    </row>
    <row r="22" spans="1:82" ht="21" customHeight="1">
      <c r="A22" s="34" t="s">
        <v>1688</v>
      </c>
      <c r="B22" s="634">
        <v>2020</v>
      </c>
      <c r="N22" s="670" t="s">
        <v>1689</v>
      </c>
      <c r="AW22" s="664" t="s">
        <v>1087</v>
      </c>
      <c r="AX22" s="664" t="s">
        <v>1087</v>
      </c>
      <c r="AZ22" s="664" t="s">
        <v>1690</v>
      </c>
      <c r="BB22" s="664" t="s">
        <v>1691</v>
      </c>
      <c r="BC22" s="664" t="s">
        <v>1499</v>
      </c>
      <c r="BE22" s="664">
        <v>2018</v>
      </c>
      <c r="BH22" s="629" t="s">
        <v>1621</v>
      </c>
      <c r="BJ22" s="629" t="s">
        <v>1568</v>
      </c>
      <c r="BL22" s="629" t="s">
        <v>1568</v>
      </c>
      <c r="BQ22" s="664">
        <v>4190067</v>
      </c>
      <c r="BR22" s="629" t="s">
        <v>1692</v>
      </c>
      <c r="BS22" s="740"/>
      <c r="BT22" s="664">
        <v>4189674</v>
      </c>
      <c r="BU22" s="629" t="s">
        <v>1693</v>
      </c>
      <c r="BV22" s="188"/>
      <c r="BW22" s="188"/>
      <c r="CC22" s="664">
        <v>4189711</v>
      </c>
      <c r="CD22" s="629" t="s">
        <v>299</v>
      </c>
    </row>
    <row r="23" spans="1:82" ht="21" customHeight="1">
      <c r="A23" s="34" t="s">
        <v>1694</v>
      </c>
      <c r="B23" s="634">
        <v>2021</v>
      </c>
      <c r="AW23" s="664" t="s">
        <v>1123</v>
      </c>
      <c r="AX23" s="664" t="s">
        <v>1123</v>
      </c>
      <c r="AZ23" s="664" t="s">
        <v>1695</v>
      </c>
      <c r="BB23" s="664" t="s">
        <v>1696</v>
      </c>
      <c r="BC23" s="664" t="s">
        <v>1408</v>
      </c>
      <c r="BE23" s="664">
        <v>2019</v>
      </c>
      <c r="BH23" s="629" t="s">
        <v>1629</v>
      </c>
      <c r="BJ23" s="629" t="s">
        <v>1584</v>
      </c>
      <c r="BL23" s="629" t="s">
        <v>1584</v>
      </c>
      <c r="BQ23" s="664">
        <v>4190068</v>
      </c>
      <c r="BR23" s="629" t="s">
        <v>1697</v>
      </c>
      <c r="BS23" s="740"/>
      <c r="BT23" s="664">
        <v>4189675</v>
      </c>
      <c r="BU23" s="629" t="s">
        <v>1698</v>
      </c>
      <c r="BV23" s="188"/>
      <c r="BW23" s="188"/>
      <c r="CC23" s="664">
        <v>5110778</v>
      </c>
      <c r="CD23" s="629" t="s">
        <v>1699</v>
      </c>
    </row>
    <row r="24" spans="1:82" ht="21" customHeight="1">
      <c r="A24" s="34" t="s">
        <v>1700</v>
      </c>
      <c r="B24" s="634">
        <v>2022</v>
      </c>
      <c r="AW24" s="664" t="s">
        <v>1125</v>
      </c>
      <c r="AX24" s="664" t="s">
        <v>1125</v>
      </c>
      <c r="AZ24" s="664" t="s">
        <v>1284</v>
      </c>
      <c r="BB24" s="664" t="s">
        <v>1701</v>
      </c>
      <c r="BC24" s="664" t="s">
        <v>1702</v>
      </c>
      <c r="BE24" s="664">
        <v>2020</v>
      </c>
      <c r="BH24" s="629" t="s">
        <v>1637</v>
      </c>
      <c r="BJ24" s="629" t="s">
        <v>1598</v>
      </c>
      <c r="BL24" s="629" t="s">
        <v>1598</v>
      </c>
      <c r="BQ24" s="664">
        <v>4190069</v>
      </c>
      <c r="BR24" s="629" t="s">
        <v>1703</v>
      </c>
      <c r="BS24" s="740"/>
      <c r="BT24" s="664">
        <v>4189676</v>
      </c>
      <c r="BU24" s="629" t="s">
        <v>1704</v>
      </c>
      <c r="BV24" s="188"/>
      <c r="BW24" s="188"/>
      <c r="CC24" s="664">
        <v>25575374</v>
      </c>
      <c r="CD24" s="629" t="s">
        <v>1705</v>
      </c>
    </row>
    <row r="25" spans="1:82" ht="11.25" customHeight="1">
      <c r="A25" s="34" t="s">
        <v>1706</v>
      </c>
      <c r="B25" s="634">
        <v>2023</v>
      </c>
      <c r="AW25" s="664" t="s">
        <v>1127</v>
      </c>
      <c r="AX25" s="664" t="s">
        <v>1127</v>
      </c>
      <c r="AZ25" s="664" t="s">
        <v>1286</v>
      </c>
      <c r="BB25" s="664" t="s">
        <v>1707</v>
      </c>
      <c r="BC25" s="664" t="s">
        <v>1702</v>
      </c>
      <c r="BE25" s="664">
        <v>2021</v>
      </c>
      <c r="BH25" s="629" t="s">
        <v>1642</v>
      </c>
      <c r="BJ25" s="629" t="s">
        <v>1664</v>
      </c>
      <c r="BL25" s="629" t="s">
        <v>1664</v>
      </c>
      <c r="BQ25" s="664">
        <v>4190070</v>
      </c>
      <c r="BR25" s="629" t="s">
        <v>1708</v>
      </c>
      <c r="BS25" s="740"/>
      <c r="BT25" s="664">
        <v>4189677</v>
      </c>
      <c r="BU25" s="629" t="s">
        <v>1709</v>
      </c>
      <c r="BV25" s="188"/>
      <c r="BW25" s="188"/>
    </row>
    <row r="26" spans="1:82" ht="11.25" customHeight="1">
      <c r="A26" s="34" t="s">
        <v>1710</v>
      </c>
      <c r="B26" s="634">
        <v>2024</v>
      </c>
      <c r="J26" s="940" t="s">
        <v>1711</v>
      </c>
      <c r="AX26" s="664" t="s">
        <v>1130</v>
      </c>
      <c r="AZ26" s="664" t="s">
        <v>1592</v>
      </c>
      <c r="BB26" s="664" t="s">
        <v>1712</v>
      </c>
      <c r="BC26" s="664" t="s">
        <v>1702</v>
      </c>
      <c r="BE26" s="664">
        <v>2022</v>
      </c>
      <c r="BH26" s="629" t="s">
        <v>1108</v>
      </c>
      <c r="BJ26" s="629" t="s">
        <v>1608</v>
      </c>
      <c r="BL26" s="629" t="s">
        <v>1608</v>
      </c>
      <c r="BQ26" s="664">
        <v>4190071</v>
      </c>
      <c r="BR26" s="629" t="s">
        <v>1713</v>
      </c>
      <c r="BS26" s="740"/>
      <c r="BV26" s="188"/>
      <c r="BW26" s="188"/>
    </row>
    <row r="27" spans="1:82" ht="11.25" customHeight="1">
      <c r="A27" s="34" t="s">
        <v>1714</v>
      </c>
      <c r="B27" s="634">
        <v>2025</v>
      </c>
      <c r="J27" s="87" t="s">
        <v>122</v>
      </c>
      <c r="AX27" s="664" t="s">
        <v>1132</v>
      </c>
      <c r="BB27" s="664" t="s">
        <v>1715</v>
      </c>
      <c r="BC27" s="664" t="s">
        <v>1702</v>
      </c>
      <c r="BE27" s="664">
        <v>2023</v>
      </c>
      <c r="BH27" s="188" t="s">
        <v>22</v>
      </c>
      <c r="BJ27" s="629" t="s">
        <v>1614</v>
      </c>
      <c r="BL27" s="629" t="s">
        <v>1614</v>
      </c>
      <c r="BN27" s="188" t="s">
        <v>22</v>
      </c>
      <c r="BQ27" s="664">
        <v>4190072</v>
      </c>
      <c r="BR27" s="629" t="s">
        <v>1716</v>
      </c>
      <c r="BS27" s="740"/>
      <c r="BV27" s="188"/>
      <c r="BW27" s="188"/>
    </row>
    <row r="28" spans="1:82" ht="11.25" customHeight="1">
      <c r="A28" s="34" t="s">
        <v>1717</v>
      </c>
      <c r="D28" s="34"/>
      <c r="E28" s="649"/>
      <c r="F28" s="649"/>
      <c r="H28" s="148" t="s">
        <v>1718</v>
      </c>
      <c r="AX28" s="664" t="s">
        <v>1134</v>
      </c>
      <c r="AZ28" s="628" t="s">
        <v>1719</v>
      </c>
      <c r="BB28" s="664" t="s">
        <v>1720</v>
      </c>
      <c r="BC28" s="664" t="s">
        <v>1721</v>
      </c>
      <c r="BE28" s="664">
        <v>2024</v>
      </c>
      <c r="BH28" s="188" t="s">
        <v>22</v>
      </c>
      <c r="BJ28" s="629" t="s">
        <v>1621</v>
      </c>
      <c r="BL28" s="629" t="s">
        <v>1621</v>
      </c>
      <c r="BN28" s="188" t="s">
        <v>22</v>
      </c>
      <c r="BQ28" s="664">
        <v>4190073</v>
      </c>
      <c r="BR28" s="629" t="s">
        <v>1722</v>
      </c>
      <c r="BS28" s="740"/>
      <c r="BV28" s="188"/>
      <c r="BW28" s="188"/>
    </row>
    <row r="29" spans="1:82" ht="11.25" customHeight="1">
      <c r="A29" s="34" t="s">
        <v>1723</v>
      </c>
      <c r="D29" s="650" t="s">
        <v>1724</v>
      </c>
      <c r="E29" s="651" t="str">
        <f>IF(TEMPLATE_GROUP="","",INDEX(StartDateList,MATCH(TEMPLATE_GROUP,CodeTemplateList,0),1))</f>
        <v>01.01.2025</v>
      </c>
      <c r="F29" s="651" t="str">
        <f>IF(TEMPLATE_GROUP="","",INDEX(EndDateList,MATCH(TEMPLATE_GROUP,CodeTemplateList,0),1))</f>
        <v>31.12.2025</v>
      </c>
      <c r="H29" s="652" t="s">
        <v>1725</v>
      </c>
      <c r="AX29" s="664" t="s">
        <v>1138</v>
      </c>
      <c r="AZ29" s="664" t="s">
        <v>1392</v>
      </c>
      <c r="BB29" s="664" t="s">
        <v>1592</v>
      </c>
      <c r="BC29" s="17"/>
      <c r="BE29" s="664">
        <v>2025</v>
      </c>
      <c r="BJ29" s="629" t="s">
        <v>1629</v>
      </c>
      <c r="BL29" s="629" t="s">
        <v>1629</v>
      </c>
    </row>
    <row r="30" spans="1:82" ht="11.25" customHeight="1">
      <c r="A30" s="34" t="s">
        <v>1726</v>
      </c>
      <c r="D30" s="653"/>
      <c r="E30" s="654"/>
      <c r="F30" s="654"/>
      <c r="AX30" s="664" t="s">
        <v>1140</v>
      </c>
      <c r="AZ30" s="664" t="s">
        <v>1420</v>
      </c>
      <c r="BE30" s="664">
        <v>2026</v>
      </c>
      <c r="BJ30" s="629" t="s">
        <v>1727</v>
      </c>
      <c r="BL30" s="629" t="s">
        <v>1727</v>
      </c>
    </row>
    <row r="31" spans="1:82" ht="12.75" customHeight="1">
      <c r="A31" s="34" t="s">
        <v>1728</v>
      </c>
      <c r="D31" s="34"/>
      <c r="E31" s="649"/>
      <c r="F31" s="649"/>
      <c r="H31" s="655"/>
      <c r="AX31" s="664" t="s">
        <v>1143</v>
      </c>
      <c r="AZ31" s="664" t="s">
        <v>1729</v>
      </c>
      <c r="BE31" s="664">
        <v>2027</v>
      </c>
      <c r="BJ31" s="629" t="s">
        <v>1730</v>
      </c>
      <c r="BL31" s="629" t="s">
        <v>1730</v>
      </c>
    </row>
    <row r="32" spans="1:82" ht="11.25" customHeight="1">
      <c r="A32" s="34" t="s">
        <v>1731</v>
      </c>
      <c r="D32" s="650" t="s">
        <v>1732</v>
      </c>
      <c r="E32" s="651" t="str">
        <f>IF(TEMPLATE_GROUP="","",INDEX(StartDateList,MATCH(TEMPLATE_GROUP,CodeTemplateList,0),1))</f>
        <v>01.01.2025</v>
      </c>
      <c r="F32" s="651" t="str">
        <f>IF(TEMPLATE_GROUP="","",INDEX(EndDateList,MATCH(TEMPLATE_GROUP,CodeTemplateList,0),1))</f>
        <v>31.12.2025</v>
      </c>
      <c r="H32" s="656" t="s">
        <v>1733</v>
      </c>
      <c r="O32" s="34" t="s">
        <v>1390</v>
      </c>
      <c r="AX32" s="664" t="s">
        <v>1147</v>
      </c>
      <c r="AZ32" s="664" t="s">
        <v>1487</v>
      </c>
      <c r="BE32" s="664">
        <v>2028</v>
      </c>
      <c r="BJ32" s="629" t="s">
        <v>1637</v>
      </c>
      <c r="BL32" s="629" t="s">
        <v>1637</v>
      </c>
    </row>
    <row r="33" spans="1:66" ht="11.25" customHeight="1">
      <c r="A33" s="34" t="s">
        <v>1734</v>
      </c>
      <c r="O33" s="34" t="s">
        <v>1417</v>
      </c>
      <c r="AX33" s="664" t="s">
        <v>1097</v>
      </c>
      <c r="AZ33" s="664" t="s">
        <v>1391</v>
      </c>
      <c r="BE33" s="664">
        <v>2029</v>
      </c>
      <c r="BJ33" s="629" t="s">
        <v>1642</v>
      </c>
      <c r="BL33" s="629" t="s">
        <v>1642</v>
      </c>
    </row>
    <row r="34" spans="1:66" ht="11.25" customHeight="1">
      <c r="A34" s="34" t="s">
        <v>1735</v>
      </c>
      <c r="O34" s="34" t="s">
        <v>1452</v>
      </c>
      <c r="AX34" s="664" t="s">
        <v>1152</v>
      </c>
      <c r="BE34" s="664">
        <v>2030</v>
      </c>
      <c r="BJ34" s="629" t="s">
        <v>1108</v>
      </c>
      <c r="BL34" s="629" t="s">
        <v>1108</v>
      </c>
    </row>
    <row r="35" spans="1:66" ht="11.25" customHeight="1">
      <c r="A35" s="34" t="s">
        <v>1736</v>
      </c>
      <c r="O35" s="34" t="s">
        <v>1485</v>
      </c>
      <c r="AX35" s="664" t="s">
        <v>1155</v>
      </c>
      <c r="AZ35" s="628" t="s">
        <v>1737</v>
      </c>
      <c r="BE35" s="664">
        <v>2031</v>
      </c>
      <c r="BL35" s="629" t="s">
        <v>1738</v>
      </c>
    </row>
    <row r="36" spans="1:66" ht="11.25" customHeight="1">
      <c r="A36" s="1007" t="s">
        <v>1739</v>
      </c>
      <c r="D36" s="657" t="s">
        <v>1740</v>
      </c>
      <c r="E36" s="658" t="s">
        <v>888</v>
      </c>
      <c r="F36" s="643" t="str">
        <f>INDEX(E37:E41,MATCH(TEMPLATE_SPHERE,F37:F41,0))</f>
        <v>холодного водоснабжения</v>
      </c>
      <c r="G36" s="643" t="str">
        <f>INDEX(G37:G41,MATCH(TEMPLATE_SPHERE,F37:F41,0))</f>
        <v>холодное водоснабжение</v>
      </c>
      <c r="O36" s="34" t="s">
        <v>1510</v>
      </c>
      <c r="AX36" s="664" t="s">
        <v>1157</v>
      </c>
      <c r="AZ36" s="664" t="s">
        <v>1391</v>
      </c>
      <c r="BE36" s="664">
        <v>2032</v>
      </c>
      <c r="BL36" s="629" t="s">
        <v>1741</v>
      </c>
    </row>
    <row r="37" spans="1:66" ht="11.25" customHeight="1">
      <c r="A37" s="34" t="s">
        <v>1742</v>
      </c>
      <c r="E37" s="233" t="s">
        <v>1743</v>
      </c>
      <c r="F37" s="659" t="s">
        <v>842</v>
      </c>
      <c r="G37" s="233" t="s">
        <v>1744</v>
      </c>
      <c r="O37" s="34" t="s">
        <v>1529</v>
      </c>
      <c r="AX37" s="664" t="s">
        <v>1160</v>
      </c>
      <c r="AZ37" s="664" t="s">
        <v>1419</v>
      </c>
      <c r="BE37" s="664">
        <v>2033</v>
      </c>
    </row>
    <row r="38" spans="1:66" ht="11.25" customHeight="1">
      <c r="A38" s="34" t="s">
        <v>1745</v>
      </c>
      <c r="E38" s="233" t="s">
        <v>1746</v>
      </c>
      <c r="F38" s="660" t="s">
        <v>888</v>
      </c>
      <c r="G38" s="233" t="s">
        <v>1747</v>
      </c>
      <c r="O38" s="34" t="s">
        <v>1546</v>
      </c>
      <c r="AX38" s="664" t="s">
        <v>1162</v>
      </c>
      <c r="AZ38" s="664" t="s">
        <v>1453</v>
      </c>
      <c r="BE38" s="664">
        <v>2034</v>
      </c>
      <c r="BH38" s="628" t="s">
        <v>1748</v>
      </c>
      <c r="BJ38" s="628" t="s">
        <v>1749</v>
      </c>
      <c r="BL38" s="628" t="s">
        <v>1750</v>
      </c>
      <c r="BN38" s="628" t="s">
        <v>1751</v>
      </c>
    </row>
    <row r="39" spans="1:66" ht="11.25" customHeight="1">
      <c r="A39" s="34" t="s">
        <v>1752</v>
      </c>
      <c r="E39" s="233" t="s">
        <v>1753</v>
      </c>
      <c r="F39" s="660" t="s">
        <v>943</v>
      </c>
      <c r="G39" s="233" t="s">
        <v>1754</v>
      </c>
      <c r="O39" s="34" t="s">
        <v>1560</v>
      </c>
      <c r="AX39" s="664" t="s">
        <v>1164</v>
      </c>
      <c r="AZ39" s="664" t="s">
        <v>1486</v>
      </c>
      <c r="BE39" s="664">
        <v>2035</v>
      </c>
      <c r="BH39" s="629" t="s">
        <v>1755</v>
      </c>
      <c r="BJ39" s="708" t="s">
        <v>1755</v>
      </c>
      <c r="BL39" s="708" t="s">
        <v>1755</v>
      </c>
      <c r="BN39" s="629" t="s">
        <v>1756</v>
      </c>
    </row>
    <row r="40" spans="1:66" ht="11.25" customHeight="1">
      <c r="A40" s="34" t="s">
        <v>1757</v>
      </c>
      <c r="E40" s="233" t="s">
        <v>1758</v>
      </c>
      <c r="F40" s="660" t="s">
        <v>930</v>
      </c>
      <c r="G40" s="233" t="s">
        <v>1759</v>
      </c>
      <c r="O40" s="34" t="s">
        <v>1576</v>
      </c>
      <c r="AX40" s="664" t="s">
        <v>1760</v>
      </c>
      <c r="BE40" s="664">
        <v>2036</v>
      </c>
      <c r="BH40" s="629" t="s">
        <v>1761</v>
      </c>
      <c r="BJ40" s="708" t="s">
        <v>1196</v>
      </c>
      <c r="BL40" s="708" t="s">
        <v>1196</v>
      </c>
      <c r="BN40" s="629" t="s">
        <v>1230</v>
      </c>
    </row>
    <row r="41" spans="1:66" ht="11.25" customHeight="1">
      <c r="A41" s="34" t="s">
        <v>1762</v>
      </c>
      <c r="E41" s="233" t="s">
        <v>1763</v>
      </c>
      <c r="F41" s="660" t="s">
        <v>1764</v>
      </c>
      <c r="G41" s="233" t="s">
        <v>1763</v>
      </c>
      <c r="O41" s="34" t="s">
        <v>1592</v>
      </c>
      <c r="AX41" s="664" t="s">
        <v>1765</v>
      </c>
      <c r="AZ41" s="628" t="s">
        <v>1766</v>
      </c>
      <c r="BE41" s="664">
        <v>2037</v>
      </c>
      <c r="BH41" s="629" t="s">
        <v>1767</v>
      </c>
      <c r="BJ41" s="708" t="s">
        <v>1192</v>
      </c>
      <c r="BL41" s="708" t="s">
        <v>1192</v>
      </c>
      <c r="BN41" s="629" t="s">
        <v>1217</v>
      </c>
    </row>
    <row r="42" spans="1:66" ht="11.25" customHeight="1">
      <c r="A42" s="34" t="s">
        <v>1768</v>
      </c>
      <c r="AX42" s="664" t="s">
        <v>1769</v>
      </c>
      <c r="AZ42" s="664" t="s">
        <v>1390</v>
      </c>
      <c r="BE42" s="664">
        <v>2038</v>
      </c>
      <c r="BH42" s="629" t="s">
        <v>1214</v>
      </c>
      <c r="BJ42" s="708" t="s">
        <v>1194</v>
      </c>
      <c r="BL42" s="708" t="s">
        <v>1194</v>
      </c>
      <c r="BN42" s="629" t="s">
        <v>1770</v>
      </c>
    </row>
    <row r="43" spans="1:66" ht="11.25" customHeight="1">
      <c r="A43" s="34" t="s">
        <v>1771</v>
      </c>
      <c r="AX43" s="664" t="s">
        <v>1772</v>
      </c>
      <c r="AZ43" s="664" t="s">
        <v>1417</v>
      </c>
      <c r="BE43" s="664">
        <v>2039</v>
      </c>
      <c r="BH43" s="629" t="s">
        <v>1773</v>
      </c>
      <c r="BJ43" s="708" t="s">
        <v>1767</v>
      </c>
      <c r="BL43" s="708" t="s">
        <v>1767</v>
      </c>
      <c r="BN43" s="629" t="s">
        <v>1774</v>
      </c>
    </row>
    <row r="44" spans="1:66" ht="11.25" customHeight="1">
      <c r="A44" s="34" t="s">
        <v>1775</v>
      </c>
      <c r="G44" s="197">
        <f ca="1">YEAR(TODAY())</f>
        <v>2026</v>
      </c>
      <c r="I44" s="460" t="s">
        <v>1776</v>
      </c>
      <c r="J44" s="644" t="s">
        <v>1777</v>
      </c>
      <c r="K44" s="644" t="s">
        <v>1778</v>
      </c>
      <c r="AX44" s="664" t="s">
        <v>1779</v>
      </c>
      <c r="AZ44" s="664" t="s">
        <v>1452</v>
      </c>
      <c r="BE44" s="664">
        <v>2040</v>
      </c>
      <c r="BH44" s="629" t="s">
        <v>1780</v>
      </c>
      <c r="BJ44" s="708" t="s">
        <v>1214</v>
      </c>
      <c r="BL44" s="708" t="s">
        <v>1214</v>
      </c>
      <c r="BN44" s="629" t="s">
        <v>1781</v>
      </c>
    </row>
    <row r="45" spans="1:66" ht="11.25" customHeight="1">
      <c r="A45" s="34" t="s">
        <v>1782</v>
      </c>
      <c r="D45" s="657" t="s">
        <v>1783</v>
      </c>
      <c r="E45" s="658" t="s">
        <v>1784</v>
      </c>
      <c r="F45" s="459" t="s">
        <v>1785</v>
      </c>
      <c r="G45" s="458" t="s">
        <v>1786</v>
      </c>
      <c r="H45" s="460" t="s">
        <v>1787</v>
      </c>
      <c r="I45" s="950" t="b">
        <f>INDEX(PeriodIsEmptyList,MATCH(TEMPLATE_GROUP,CodeTemplateList,0),1)</f>
        <v>0</v>
      </c>
      <c r="J45" s="953"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4" t="s">
        <v>1788</v>
      </c>
      <c r="AZ45" s="664" t="s">
        <v>1485</v>
      </c>
      <c r="BE45" s="664">
        <v>2041</v>
      </c>
      <c r="BH45" s="629" t="s">
        <v>1789</v>
      </c>
      <c r="BJ45" s="708" t="s">
        <v>1208</v>
      </c>
      <c r="BL45" s="708" t="s">
        <v>1208</v>
      </c>
      <c r="BN45" s="629" t="s">
        <v>1790</v>
      </c>
    </row>
    <row r="46" spans="1:66" ht="11.25" customHeight="1">
      <c r="A46" s="34" t="s">
        <v>1791</v>
      </c>
      <c r="E46" s="233" t="s">
        <v>27</v>
      </c>
      <c r="F46" s="659" t="s">
        <v>1792</v>
      </c>
      <c r="G46" s="661" t="str">
        <f ca="1">IFERROR(IF(TITLE_DATE_FIL="","01.01."&amp;CURRENT_YEAR,"01.01."&amp;YEAR(TITLE_DATE_FIL)),"01.01."&amp;CURRENT_YEAR)</f>
        <v>01.01.2026</v>
      </c>
      <c r="H46" s="661" t="str">
        <f ca="1">IFERROR(IF(TITLE_DATE_FIL="","31.12."&amp;CURRENT_YEAR,"31.12."&amp;YEAR(TITLE_DATE_FIL)),"31.12."&amp;CURRENT_YEAR)</f>
        <v>31.12.2026</v>
      </c>
      <c r="I46" s="951" t="b">
        <f>IF(TITLE_DATE_FIL="",TRUE,FALSE)</f>
        <v>1</v>
      </c>
      <c r="J46" s="954" t="str">
        <f>"Общая информация о регулируемой организации ("&amp;TEMPLATE_SPHERE_RUS&amp;")"</f>
        <v>Общая информация о регулируемой организации (холодного водоснабжения)</v>
      </c>
      <c r="K46" s="955"/>
      <c r="AX46" s="664" t="s">
        <v>1793</v>
      </c>
      <c r="AZ46" s="664" t="s">
        <v>1510</v>
      </c>
      <c r="BE46" s="664">
        <v>2042</v>
      </c>
      <c r="BH46" s="629" t="s">
        <v>1217</v>
      </c>
      <c r="BJ46" s="708" t="s">
        <v>1198</v>
      </c>
      <c r="BL46" s="708" t="s">
        <v>1198</v>
      </c>
      <c r="BN46" s="629" t="s">
        <v>1794</v>
      </c>
    </row>
    <row r="47" spans="1:66" ht="11.25" customHeight="1">
      <c r="A47" s="34" t="s">
        <v>1795</v>
      </c>
      <c r="E47" s="233" t="s">
        <v>33</v>
      </c>
      <c r="F47" s="660" t="s">
        <v>1796</v>
      </c>
      <c r="G47" s="661" t="str">
        <f>IFERROR(IF(f_year="","01.01."&amp;CURRENT_YEAR,IF(LEN(f_quart)=0,"01.01."&amp;f_year,IF(f_quart="I квартал","01.01."&amp;f_year,IF(f_quart="II квартал","01.04."&amp;f_year,(IF(f_quart="III квартал","01.07."&amp;f_year,"01.10."&amp;f_year)))))),"01.01."&amp;CURRENT_YEAR)</f>
        <v>01.01.2025</v>
      </c>
      <c r="H47" s="661" t="str">
        <f>IFERROR(IF(f_year="","31.12."&amp;CURRENT_YEAR,IF(LEN(f_quart)=0,"31.12."&amp;f_year,IF(f_quart="I квартал","31.03."&amp;f_year,IF(f_quart="II квартал","30.06."&amp;f_year,(IF(f_quart="III квартал","30.09."&amp;f_year,"31.12."&amp;f_year)))))),"31.12."&amp;CURRENT_YEAR)</f>
        <v>31.12.2025</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5"/>
      <c r="AX47" s="664" t="s">
        <v>1797</v>
      </c>
      <c r="AZ47" s="664" t="s">
        <v>1529</v>
      </c>
      <c r="BE47" s="664">
        <v>2043</v>
      </c>
      <c r="BH47" s="629" t="s">
        <v>1770</v>
      </c>
      <c r="BJ47" s="708" t="s">
        <v>1200</v>
      </c>
      <c r="BL47" s="708" t="s">
        <v>1200</v>
      </c>
      <c r="BN47" s="629" t="s">
        <v>1798</v>
      </c>
    </row>
    <row r="48" spans="1:66" ht="11.25" customHeight="1">
      <c r="A48" s="34" t="s">
        <v>1799</v>
      </c>
      <c r="E48" s="233" t="s">
        <v>1800</v>
      </c>
      <c r="F48" s="660" t="s">
        <v>1784</v>
      </c>
      <c r="G48" s="661" t="str">
        <f>IFERROR(IF(f_year="","01.01."&amp;CURRENT_YEAR,"01.01."&amp;f_year),"01.01."&amp;CURRENT_YEAR)</f>
        <v>01.01.2025</v>
      </c>
      <c r="H48" s="661" t="str">
        <f>IFERROR(IF(f_year="","31.12."&amp;CURRENT_YEAR,"31.12."&amp;f_year),"31.12."&amp;CURRENT_YEAR)</f>
        <v>31.12.2025</v>
      </c>
      <c r="I48" s="951" t="b">
        <f>IF(f_year="",TRUE,FALSE)</f>
        <v>0</v>
      </c>
      <c r="J48" s="954" t="s">
        <v>1801</v>
      </c>
      <c r="K48" s="955"/>
      <c r="AX48" s="664" t="s">
        <v>1802</v>
      </c>
      <c r="AZ48" s="664" t="s">
        <v>1546</v>
      </c>
      <c r="BE48" s="664">
        <v>2044</v>
      </c>
      <c r="BH48" s="629" t="s">
        <v>1774</v>
      </c>
      <c r="BJ48" s="708" t="s">
        <v>1202</v>
      </c>
      <c r="BL48" s="708" t="s">
        <v>1202</v>
      </c>
      <c r="BN48" s="629" t="s">
        <v>1803</v>
      </c>
    </row>
    <row r="49" spans="1:64" ht="11.25" customHeight="1">
      <c r="A49" s="34" t="s">
        <v>1804</v>
      </c>
      <c r="E49" s="233" t="s">
        <v>1805</v>
      </c>
      <c r="F49" s="660" t="s">
        <v>1806</v>
      </c>
      <c r="G49" s="661" t="str">
        <f>IFERROR(IF(f_year="","01.01."&amp;CURRENT_YEAR,"01.01."&amp;f_year),"01.01."&amp;CURRENT_YEAR)</f>
        <v>01.01.2025</v>
      </c>
      <c r="H49" s="661" t="str">
        <f>IFERROR(IF(f_year="","31.12."&amp;CURRENT_YEAR,"31.12."&amp;f_year),"31.12."&amp;CURRENT_YEAR)</f>
        <v>31.12.2025</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5"/>
      <c r="AX49" s="664" t="s">
        <v>1807</v>
      </c>
      <c r="AZ49" s="664" t="s">
        <v>1560</v>
      </c>
      <c r="BE49" s="664">
        <v>2045</v>
      </c>
      <c r="BH49" s="629" t="s">
        <v>1218</v>
      </c>
      <c r="BJ49" s="708" t="s">
        <v>1204</v>
      </c>
      <c r="BL49" s="708" t="s">
        <v>1204</v>
      </c>
    </row>
    <row r="50" spans="1:64" ht="11.25" customHeight="1">
      <c r="A50" s="34" t="s">
        <v>1808</v>
      </c>
      <c r="E50" s="233" t="s">
        <v>1809</v>
      </c>
      <c r="F50" s="660" t="s">
        <v>1188</v>
      </c>
      <c r="G50" s="661" t="str">
        <f>IFERROR(IF(f_year="","01.01."&amp;CURRENT_YEAR,"01.01."&amp;f_year),"01.01."&amp;CURRENT_YEAR)</f>
        <v>01.01.2025</v>
      </c>
      <c r="H50" s="661" t="str">
        <f>IFERROR(IF(f_year="","31.12."&amp;CURRENT_YEAR,"31.12."&amp;f_year),"31.12."&amp;CURRENT_YEAR)</f>
        <v>31.12.2025</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5"/>
      <c r="AX50" s="664" t="s">
        <v>1810</v>
      </c>
      <c r="AZ50" s="664" t="s">
        <v>1576</v>
      </c>
      <c r="BE50" s="664">
        <v>2046</v>
      </c>
      <c r="BH50" s="629" t="s">
        <v>1781</v>
      </c>
      <c r="BJ50" s="708" t="s">
        <v>1206</v>
      </c>
      <c r="BL50" s="708" t="s">
        <v>1206</v>
      </c>
    </row>
    <row r="51" spans="1:64" ht="11.25" customHeight="1">
      <c r="A51" s="34" t="s">
        <v>1811</v>
      </c>
      <c r="E51" s="233" t="s">
        <v>1812</v>
      </c>
      <c r="F51" s="660" t="s">
        <v>1813</v>
      </c>
      <c r="G51" s="661" t="str">
        <f ca="1">IFERROR(IF(TITLE_PERIOD_START="","01.01."&amp;CURRENT_YEAR,"01.01."&amp;YEAR(TITLE_PERIOD_START)),"01.01."&amp;CURRENT_YEAR)</f>
        <v>01.01.2026</v>
      </c>
      <c r="H51" s="661" t="str">
        <f ca="1">IFERROR(IF(TITLE_PERIOD_END="","31.12."&amp;CURRENT_YEAR,"31.12."&amp;YEAR(TITLE_PERIOD_END)),"31.12."&amp;CURRENT_YEAR)</f>
        <v>31.12.2026</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1814</v>
      </c>
      <c r="AZ51" s="664" t="s">
        <v>1592</v>
      </c>
      <c r="BE51" s="664">
        <v>2047</v>
      </c>
      <c r="BH51" s="629" t="s">
        <v>1790</v>
      </c>
      <c r="BJ51" s="708" t="s">
        <v>1815</v>
      </c>
      <c r="BL51" s="708" t="s">
        <v>1815</v>
      </c>
    </row>
    <row r="52" spans="1:64" ht="11.25" customHeight="1">
      <c r="A52" s="34" t="s">
        <v>1816</v>
      </c>
      <c r="E52" s="233" t="s">
        <v>1817</v>
      </c>
      <c r="F52" s="660" t="s">
        <v>1818</v>
      </c>
      <c r="G52" s="661" t="str">
        <f ca="1">IFERROR(IF(TITLE_PERIOD_START="","01.01."&amp;CURRENT_YEAR,"01.01."&amp;YEAR(TITLE_PERIOD_START)),"01.01."&amp;CURRENT_YEAR)</f>
        <v>01.01.2026</v>
      </c>
      <c r="H52" s="661" t="str">
        <f ca="1">IFERROR(IF(TITLE_PERIOD_END="","31.12."&amp;CURRENT_YEAR,"31.12."&amp;YEAR(TITLE_PERIOD_END)),"31.12."&amp;CURRENT_YEAR)</f>
        <v>31.12.2026</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5"/>
      <c r="AX52" s="664" t="s">
        <v>1819</v>
      </c>
      <c r="AZ52" s="664" t="s">
        <v>1391</v>
      </c>
      <c r="BE52" s="664">
        <v>2048</v>
      </c>
      <c r="BH52" s="629" t="s">
        <v>1794</v>
      </c>
      <c r="BJ52" s="708" t="s">
        <v>1217</v>
      </c>
      <c r="BL52" s="708" t="s">
        <v>1217</v>
      </c>
    </row>
    <row r="53" spans="1:64" ht="11.25" customHeight="1">
      <c r="A53" s="34" t="s">
        <v>1820</v>
      </c>
      <c r="E53" s="233" t="s">
        <v>1821</v>
      </c>
      <c r="F53" s="660" t="s">
        <v>1821</v>
      </c>
      <c r="G53" s="661" t="str">
        <f>IFERROR(IF(f_year="","01.01."&amp;CURRENT_YEAR,"01.01."&amp;f_year),"01.01."&amp;CURRENT_YEAR)</f>
        <v>01.01.2025</v>
      </c>
      <c r="H53" s="661" t="str">
        <f>IFERROR(IF(f_year="","31.12."&amp;CURRENT_YEAR,"31.12."&amp;f_year),"31.12."&amp;CURRENT_YEAR)</f>
        <v>31.12.2025</v>
      </c>
      <c r="I53" s="951" t="b">
        <f>IF(AND(f_year="",TITLE_DATE_FIL=""),TRUE,FALSE)</f>
        <v>0</v>
      </c>
      <c r="J53" s="954" t="s">
        <v>1822</v>
      </c>
      <c r="K53" s="955"/>
      <c r="AX53" s="664" t="s">
        <v>1823</v>
      </c>
      <c r="BE53" s="664">
        <v>2049</v>
      </c>
      <c r="BH53" s="629" t="s">
        <v>1798</v>
      </c>
      <c r="BJ53" s="708" t="s">
        <v>1770</v>
      </c>
      <c r="BL53" s="708" t="s">
        <v>1770</v>
      </c>
    </row>
    <row r="54" spans="1:64" ht="11.25" customHeight="1">
      <c r="A54" s="34" t="s">
        <v>1824</v>
      </c>
      <c r="AX54" s="664" t="s">
        <v>1825</v>
      </c>
      <c r="AZ54" s="628" t="s">
        <v>1826</v>
      </c>
      <c r="BE54" s="664">
        <v>2050</v>
      </c>
      <c r="BH54" s="629" t="s">
        <v>1803</v>
      </c>
      <c r="BJ54" s="708" t="s">
        <v>1774</v>
      </c>
      <c r="BL54" s="708" t="s">
        <v>1774</v>
      </c>
    </row>
    <row r="55" spans="1:64" ht="11.25" customHeight="1">
      <c r="A55" s="34" t="s">
        <v>1827</v>
      </c>
      <c r="AX55" s="664" t="s">
        <v>1828</v>
      </c>
      <c r="AZ55" s="664" t="s">
        <v>1393</v>
      </c>
      <c r="BE55" s="664">
        <v>2051</v>
      </c>
      <c r="BH55" s="188" t="s">
        <v>22</v>
      </c>
      <c r="BJ55" s="708" t="s">
        <v>1218</v>
      </c>
      <c r="BL55" s="708" t="s">
        <v>1218</v>
      </c>
    </row>
    <row r="56" spans="1:64" ht="11.25" customHeight="1">
      <c r="A56" s="34" t="s">
        <v>1829</v>
      </c>
      <c r="D56" s="662" t="s">
        <v>1830</v>
      </c>
      <c r="E56" s="644" t="s">
        <v>111</v>
      </c>
      <c r="F56" s="34" t="s">
        <v>1831</v>
      </c>
      <c r="AX56" s="664" t="s">
        <v>1832</v>
      </c>
      <c r="AZ56" s="664" t="s">
        <v>1421</v>
      </c>
      <c r="BE56" s="664">
        <v>2052</v>
      </c>
      <c r="BH56" s="188" t="s">
        <v>22</v>
      </c>
      <c r="BJ56" s="708" t="s">
        <v>1781</v>
      </c>
      <c r="BL56" s="708" t="s">
        <v>1781</v>
      </c>
    </row>
    <row r="57" spans="1:64" ht="11.25" customHeight="1">
      <c r="A57" s="34" t="s">
        <v>1833</v>
      </c>
      <c r="D57" s="662" t="s">
        <v>1834</v>
      </c>
      <c r="E57" s="644" t="s">
        <v>1835</v>
      </c>
      <c r="F57" s="34" t="s">
        <v>1831</v>
      </c>
      <c r="AX57" s="664" t="s">
        <v>1836</v>
      </c>
      <c r="AZ57" s="664" t="s">
        <v>1455</v>
      </c>
      <c r="BE57" s="664">
        <v>2053</v>
      </c>
      <c r="BJ57" s="708" t="s">
        <v>1790</v>
      </c>
      <c r="BL57" s="708" t="s">
        <v>1790</v>
      </c>
    </row>
    <row r="58" spans="1:64" ht="11.25" customHeight="1">
      <c r="A58" s="34" t="s">
        <v>1837</v>
      </c>
      <c r="D58" s="662" t="s">
        <v>1838</v>
      </c>
      <c r="E58" s="644" t="s">
        <v>1823</v>
      </c>
      <c r="F58" s="34" t="s">
        <v>1831</v>
      </c>
      <c r="AX58" s="664" t="s">
        <v>1839</v>
      </c>
      <c r="BE58" s="664">
        <v>2054</v>
      </c>
      <c r="BJ58" s="708" t="s">
        <v>1794</v>
      </c>
      <c r="BL58" s="708" t="s">
        <v>1794</v>
      </c>
    </row>
    <row r="59" spans="1:64" ht="11.25" customHeight="1">
      <c r="A59" s="34" t="s">
        <v>1840</v>
      </c>
      <c r="D59" s="662" t="s">
        <v>139</v>
      </c>
      <c r="E59" s="644" t="s">
        <v>1147</v>
      </c>
      <c r="F59" s="34" t="s">
        <v>1841</v>
      </c>
      <c r="AX59" s="664" t="s">
        <v>1842</v>
      </c>
      <c r="AZ59" s="628" t="s">
        <v>1843</v>
      </c>
      <c r="BE59" s="664">
        <v>2055</v>
      </c>
      <c r="BJ59" s="708" t="s">
        <v>1798</v>
      </c>
      <c r="BL59" s="708" t="s">
        <v>1798</v>
      </c>
    </row>
    <row r="60" spans="1:64" ht="11.25" customHeight="1">
      <c r="A60" s="34" t="s">
        <v>1844</v>
      </c>
      <c r="D60" s="662" t="s">
        <v>1845</v>
      </c>
      <c r="E60" s="644" t="s">
        <v>1147</v>
      </c>
      <c r="F60" s="34" t="s">
        <v>1841</v>
      </c>
      <c r="AX60" s="664" t="s">
        <v>1846</v>
      </c>
      <c r="AZ60" s="664" t="s">
        <v>1394</v>
      </c>
      <c r="BE60" s="664">
        <v>2056</v>
      </c>
      <c r="BJ60" s="708" t="s">
        <v>1803</v>
      </c>
      <c r="BL60" s="708" t="s">
        <v>1803</v>
      </c>
    </row>
    <row r="61" spans="1:64" ht="11.25" customHeight="1">
      <c r="A61" s="34" t="s">
        <v>1847</v>
      </c>
      <c r="D61" s="662" t="s">
        <v>1848</v>
      </c>
      <c r="E61" s="644" t="s">
        <v>1147</v>
      </c>
      <c r="F61" s="34" t="s">
        <v>1841</v>
      </c>
      <c r="AX61" s="664" t="s">
        <v>1849</v>
      </c>
      <c r="AZ61" s="664" t="s">
        <v>1422</v>
      </c>
      <c r="BE61" s="664">
        <v>2057</v>
      </c>
      <c r="BL61" s="708" t="s">
        <v>1210</v>
      </c>
    </row>
    <row r="62" spans="1:64" ht="11.25" customHeight="1">
      <c r="A62" s="34" t="s">
        <v>1850</v>
      </c>
      <c r="D62" s="662" t="s">
        <v>138</v>
      </c>
      <c r="E62" s="644">
        <v>30</v>
      </c>
      <c r="F62" s="34" t="s">
        <v>1841</v>
      </c>
      <c r="AZ62" s="664" t="s">
        <v>1456</v>
      </c>
      <c r="BE62" s="664">
        <v>2058</v>
      </c>
      <c r="BL62" s="708" t="s">
        <v>1212</v>
      </c>
    </row>
    <row r="63" spans="1:64" ht="11.25" customHeight="1">
      <c r="A63" s="34" t="s">
        <v>1851</v>
      </c>
      <c r="D63" s="662" t="s">
        <v>1852</v>
      </c>
      <c r="E63" s="644">
        <v>30</v>
      </c>
      <c r="F63" s="34" t="s">
        <v>1841</v>
      </c>
      <c r="AZ63" s="664" t="s">
        <v>1488</v>
      </c>
      <c r="BE63" s="664">
        <v>2059</v>
      </c>
    </row>
    <row r="64" spans="1:64" ht="11.25" customHeight="1">
      <c r="A64" s="34" t="s">
        <v>1853</v>
      </c>
      <c r="D64" s="662" t="s">
        <v>1854</v>
      </c>
      <c r="E64" s="644">
        <v>30</v>
      </c>
      <c r="F64" s="34" t="s">
        <v>1841</v>
      </c>
      <c r="AZ64" s="664" t="s">
        <v>1511</v>
      </c>
      <c r="BE64" s="664">
        <v>2060</v>
      </c>
    </row>
    <row r="65" spans="1:66" ht="11.25" customHeight="1">
      <c r="A65" s="34" t="s">
        <v>1855</v>
      </c>
      <c r="D65" s="34"/>
      <c r="BE65" s="664">
        <v>2061</v>
      </c>
    </row>
    <row r="66" spans="1:66" ht="11.25" customHeight="1">
      <c r="A66" s="34" t="s">
        <v>1856</v>
      </c>
      <c r="AZ66" s="628" t="s">
        <v>1857</v>
      </c>
      <c r="BE66" s="664">
        <v>2062</v>
      </c>
    </row>
    <row r="67" spans="1:66" ht="11.25" customHeight="1">
      <c r="A67" s="34" t="s">
        <v>1858</v>
      </c>
      <c r="AZ67" s="664" t="s">
        <v>1395</v>
      </c>
      <c r="BE67" s="664">
        <v>2063</v>
      </c>
    </row>
    <row r="68" spans="1:66" ht="11.25" customHeight="1">
      <c r="A68" s="34" t="s">
        <v>1859</v>
      </c>
      <c r="AZ68" s="664" t="s">
        <v>1423</v>
      </c>
      <c r="BE68" s="664">
        <v>2064</v>
      </c>
      <c r="BH68" s="628" t="s">
        <v>1860</v>
      </c>
      <c r="BJ68" s="628" t="s">
        <v>1861</v>
      </c>
      <c r="BL68" s="628" t="s">
        <v>1862</v>
      </c>
      <c r="BN68" s="628" t="s">
        <v>1863</v>
      </c>
    </row>
    <row r="69" spans="1:66" ht="11.25" customHeight="1">
      <c r="A69" s="34" t="s">
        <v>1864</v>
      </c>
      <c r="AZ69" s="664" t="s">
        <v>1457</v>
      </c>
      <c r="BE69" s="664">
        <v>2065</v>
      </c>
      <c r="BH69" s="629" t="s">
        <v>1865</v>
      </c>
      <c r="BI69" s="188" t="s">
        <v>109</v>
      </c>
      <c r="BJ69" s="629" t="s">
        <v>1065</v>
      </c>
      <c r="BK69" s="188" t="s">
        <v>109</v>
      </c>
      <c r="BL69" s="629" t="s">
        <v>1866</v>
      </c>
      <c r="BM69" s="188" t="s">
        <v>109</v>
      </c>
      <c r="BN69" s="629" t="s">
        <v>1867</v>
      </c>
    </row>
    <row r="70" spans="1:66" ht="11.25" customHeight="1">
      <c r="A70" s="34" t="s">
        <v>1868</v>
      </c>
      <c r="AZ70" s="664" t="s">
        <v>1489</v>
      </c>
      <c r="BE70" s="664">
        <v>2066</v>
      </c>
      <c r="BH70" s="629" t="s">
        <v>1869</v>
      </c>
      <c r="BJ70" s="629" t="s">
        <v>1082</v>
      </c>
      <c r="BL70" s="629" t="s">
        <v>1870</v>
      </c>
      <c r="BN70" s="629" t="s">
        <v>1871</v>
      </c>
    </row>
    <row r="71" spans="1:66" ht="11.25" customHeight="1">
      <c r="A71" s="34" t="s">
        <v>1872</v>
      </c>
      <c r="AZ71" s="664" t="s">
        <v>1491</v>
      </c>
      <c r="BE71" s="664">
        <v>2067</v>
      </c>
      <c r="BH71" s="629" t="s">
        <v>1873</v>
      </c>
      <c r="BI71" s="188" t="s">
        <v>90</v>
      </c>
      <c r="BJ71" s="629" t="s">
        <v>1101</v>
      </c>
      <c r="BK71" s="188" t="s">
        <v>90</v>
      </c>
      <c r="BL71" s="629" t="s">
        <v>1874</v>
      </c>
      <c r="BM71" s="188" t="s">
        <v>90</v>
      </c>
      <c r="BN71" s="629" t="s">
        <v>1875</v>
      </c>
    </row>
    <row r="72" spans="1:66" ht="11.25" customHeight="1">
      <c r="A72" s="34" t="s">
        <v>1876</v>
      </c>
      <c r="AZ72" s="664" t="s">
        <v>19</v>
      </c>
      <c r="BE72" s="664">
        <v>2068</v>
      </c>
      <c r="BH72" s="629" t="s">
        <v>1135</v>
      </c>
      <c r="BJ72" s="629" t="s">
        <v>1135</v>
      </c>
      <c r="BL72" s="629" t="s">
        <v>1135</v>
      </c>
      <c r="BN72" s="629" t="s">
        <v>1877</v>
      </c>
    </row>
    <row r="73" spans="1:66" ht="11.25" customHeight="1">
      <c r="A73" s="34" t="s">
        <v>1878</v>
      </c>
      <c r="BE73" s="664">
        <v>2069</v>
      </c>
      <c r="BH73" s="629" t="s">
        <v>1879</v>
      </c>
      <c r="BI73" s="188" t="s">
        <v>111</v>
      </c>
      <c r="BJ73" s="629" t="s">
        <v>1144</v>
      </c>
      <c r="BK73" s="188" t="s">
        <v>111</v>
      </c>
      <c r="BL73" s="629" t="s">
        <v>1880</v>
      </c>
      <c r="BM73" s="188" t="s">
        <v>111</v>
      </c>
      <c r="BN73" s="629" t="s">
        <v>1881</v>
      </c>
    </row>
    <row r="74" spans="1:66" ht="11.25" customHeight="1">
      <c r="A74" s="34" t="s">
        <v>1882</v>
      </c>
      <c r="BE74" s="664">
        <v>2070</v>
      </c>
      <c r="BH74" s="629" t="s">
        <v>1883</v>
      </c>
      <c r="BJ74" s="629" t="s">
        <v>1884</v>
      </c>
      <c r="BL74" s="629" t="s">
        <v>1885</v>
      </c>
      <c r="BN74" s="629" t="s">
        <v>1886</v>
      </c>
    </row>
    <row r="75" spans="1:66" ht="11.25" customHeight="1">
      <c r="A75" s="34" t="s">
        <v>1887</v>
      </c>
      <c r="AZ75" s="628" t="s">
        <v>1888</v>
      </c>
      <c r="BH75" s="629" t="s">
        <v>1889</v>
      </c>
      <c r="BJ75" s="629" t="s">
        <v>1889</v>
      </c>
      <c r="BL75" s="629" t="s">
        <v>1889</v>
      </c>
    </row>
    <row r="76" spans="1:66" ht="11.25" customHeight="1">
      <c r="A76" s="34" t="s">
        <v>1890</v>
      </c>
      <c r="AZ76" s="664" t="s">
        <v>1404</v>
      </c>
      <c r="BH76" s="629" t="s">
        <v>1891</v>
      </c>
      <c r="BJ76" s="629" t="s">
        <v>1148</v>
      </c>
      <c r="BL76" s="629" t="s">
        <v>1892</v>
      </c>
    </row>
    <row r="77" spans="1:66" ht="11.25" customHeight="1">
      <c r="A77" s="34" t="s">
        <v>1893</v>
      </c>
      <c r="AZ77" s="664" t="s">
        <v>1433</v>
      </c>
    </row>
    <row r="78" spans="1:66" ht="11.25" customHeight="1">
      <c r="A78" s="34" t="s">
        <v>1894</v>
      </c>
      <c r="AZ78" s="664" t="s">
        <v>1464</v>
      </c>
    </row>
    <row r="79" spans="1:66" ht="11.25" customHeight="1">
      <c r="A79" s="34" t="s">
        <v>1895</v>
      </c>
      <c r="AZ79" s="664" t="s">
        <v>1495</v>
      </c>
      <c r="BH79" s="628" t="s">
        <v>1896</v>
      </c>
      <c r="BJ79" s="628" t="s">
        <v>1064</v>
      </c>
      <c r="BL79" s="628" t="s">
        <v>1897</v>
      </c>
    </row>
    <row r="80" spans="1:66" ht="11.25" customHeight="1">
      <c r="A80" s="34" t="s">
        <v>1898</v>
      </c>
      <c r="AZ80" s="664" t="s">
        <v>1516</v>
      </c>
      <c r="BH80" s="629" t="s">
        <v>1899</v>
      </c>
      <c r="BJ80" s="629" t="s">
        <v>1066</v>
      </c>
      <c r="BL80" s="629" t="s">
        <v>1900</v>
      </c>
    </row>
    <row r="81" spans="1:66" ht="11.25" customHeight="1">
      <c r="A81" s="34" t="s">
        <v>1901</v>
      </c>
      <c r="AZ81" s="664" t="s">
        <v>1533</v>
      </c>
      <c r="BH81" s="629" t="s">
        <v>1902</v>
      </c>
      <c r="BJ81" s="629" t="s">
        <v>1903</v>
      </c>
      <c r="BL81" s="629" t="s">
        <v>1904</v>
      </c>
    </row>
    <row r="82" spans="1:66" ht="11.25" customHeight="1">
      <c r="A82" s="34" t="s">
        <v>1905</v>
      </c>
      <c r="AZ82" s="664" t="s">
        <v>1548</v>
      </c>
      <c r="BH82" s="629" t="s">
        <v>1906</v>
      </c>
      <c r="BJ82" s="629" t="s">
        <v>1907</v>
      </c>
      <c r="BL82" s="629" t="s">
        <v>1908</v>
      </c>
    </row>
    <row r="83" spans="1:66" ht="11.25" customHeight="1">
      <c r="A83" s="34" t="s">
        <v>1909</v>
      </c>
      <c r="BH83" s="629" t="s">
        <v>1910</v>
      </c>
      <c r="BJ83" s="629" t="s">
        <v>1911</v>
      </c>
      <c r="BL83" s="629" t="s">
        <v>1912</v>
      </c>
    </row>
    <row r="84" spans="1:66" ht="11.25" customHeight="1">
      <c r="A84" s="34" t="s">
        <v>16</v>
      </c>
      <c r="AZ84" s="628" t="s">
        <v>1913</v>
      </c>
    </row>
    <row r="85" spans="1:66" ht="11.25" customHeight="1">
      <c r="A85" s="1007" t="s">
        <v>1914</v>
      </c>
      <c r="AZ85" s="664" t="s">
        <v>1915</v>
      </c>
    </row>
    <row r="86" spans="1:66" ht="11.25" customHeight="1">
      <c r="A86" s="34" t="s">
        <v>1916</v>
      </c>
      <c r="AZ86" s="664" t="s">
        <v>1917</v>
      </c>
      <c r="BH86" s="628" t="s">
        <v>1918</v>
      </c>
      <c r="BJ86" s="628" t="s">
        <v>1100</v>
      </c>
      <c r="BL86" s="628" t="s">
        <v>1919</v>
      </c>
    </row>
    <row r="87" spans="1:66" ht="11.25" customHeight="1">
      <c r="A87" s="34" t="s">
        <v>1920</v>
      </c>
      <c r="AZ87" s="664" t="s">
        <v>1921</v>
      </c>
      <c r="BH87" s="629" t="s">
        <v>1922</v>
      </c>
      <c r="BJ87" s="629" t="s">
        <v>1102</v>
      </c>
      <c r="BL87" s="629" t="s">
        <v>1923</v>
      </c>
    </row>
    <row r="88" spans="1:66" ht="11.25" customHeight="1">
      <c r="A88" s="34" t="s">
        <v>1924</v>
      </c>
      <c r="AZ88"/>
      <c r="BH88" s="629" t="s">
        <v>1925</v>
      </c>
      <c r="BJ88" s="629" t="s">
        <v>1120</v>
      </c>
      <c r="BL88" s="629" t="s">
        <v>1926</v>
      </c>
    </row>
    <row r="89" spans="1:66" ht="11.25" customHeight="1">
      <c r="A89" s="34" t="s">
        <v>1927</v>
      </c>
      <c r="AZ89" s="628" t="s">
        <v>1928</v>
      </c>
    </row>
    <row r="90" spans="1:66" ht="11.25" customHeight="1">
      <c r="A90" s="34" t="s">
        <v>1929</v>
      </c>
      <c r="AZ90" s="664" t="s">
        <v>1188</v>
      </c>
    </row>
    <row r="91" spans="1:66" ht="11.25" customHeight="1">
      <c r="A91" s="34" t="s">
        <v>1930</v>
      </c>
      <c r="AZ91" s="664" t="s">
        <v>1224</v>
      </c>
      <c r="BH91" s="628" t="s">
        <v>1931</v>
      </c>
      <c r="BJ91" s="628" t="s">
        <v>1142</v>
      </c>
      <c r="BL91" s="628" t="s">
        <v>1932</v>
      </c>
    </row>
    <row r="92" spans="1:66" ht="11.25" customHeight="1">
      <c r="AZ92" s="664" t="s">
        <v>1933</v>
      </c>
      <c r="BH92" s="629" t="s">
        <v>1934</v>
      </c>
      <c r="BJ92" s="629" t="s">
        <v>1145</v>
      </c>
      <c r="BL92" s="629" t="s">
        <v>1935</v>
      </c>
    </row>
    <row r="93" spans="1:66" ht="11.25" customHeight="1">
      <c r="AZ93" s="664" t="s">
        <v>1936</v>
      </c>
      <c r="BH93" s="629" t="s">
        <v>1937</v>
      </c>
      <c r="BJ93" s="629" t="s">
        <v>1176</v>
      </c>
      <c r="BL93" s="629" t="s">
        <v>1938</v>
      </c>
    </row>
    <row r="94" spans="1:66" ht="11.25" customHeight="1">
      <c r="AZ94" s="664" t="s">
        <v>1939</v>
      </c>
    </row>
    <row r="96" spans="1:66" ht="11.25" customHeight="1">
      <c r="AZ96" s="628" t="s">
        <v>1940</v>
      </c>
      <c r="BH96" s="628" t="s">
        <v>1941</v>
      </c>
      <c r="BJ96" s="628" t="s">
        <v>1942</v>
      </c>
      <c r="BL96" s="628" t="s">
        <v>1943</v>
      </c>
      <c r="BN96" s="628" t="s">
        <v>1944</v>
      </c>
    </row>
    <row r="97" spans="52:66" ht="11.25" customHeight="1">
      <c r="AZ97" s="1023" t="s">
        <v>1945</v>
      </c>
      <c r="BA97" s="373" t="s">
        <v>1946</v>
      </c>
      <c r="BH97" s="629" t="s">
        <v>1947</v>
      </c>
      <c r="BJ97" s="629" t="s">
        <v>1948</v>
      </c>
      <c r="BL97" s="629" t="s">
        <v>1949</v>
      </c>
      <c r="BN97" s="629" t="s">
        <v>1950</v>
      </c>
    </row>
    <row r="98" spans="52:66" ht="11.25" customHeight="1">
      <c r="AZ98" s="1023" t="s">
        <v>1951</v>
      </c>
      <c r="BA98" s="373" t="s">
        <v>1952</v>
      </c>
      <c r="BH98" s="629" t="s">
        <v>1953</v>
      </c>
      <c r="BJ98" s="629" t="s">
        <v>1954</v>
      </c>
      <c r="BL98" s="629" t="s">
        <v>1955</v>
      </c>
      <c r="BN98" s="629" t="s">
        <v>1956</v>
      </c>
    </row>
    <row r="99" spans="52:66" ht="22.5" customHeight="1">
      <c r="AZ99" s="1023" t="s">
        <v>1957</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1958</v>
      </c>
      <c r="BJ99" s="629" t="s">
        <v>1959</v>
      </c>
      <c r="BL99" s="629" t="s">
        <v>1960</v>
      </c>
      <c r="BN99" s="629" t="s">
        <v>1961</v>
      </c>
    </row>
    <row r="100" spans="52:66" ht="22.5" customHeight="1">
      <c r="AZ100" s="1023" t="s">
        <v>1962</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1592</v>
      </c>
      <c r="BL100" s="629" t="s">
        <v>1592</v>
      </c>
      <c r="BN100" s="629" t="s">
        <v>1963</v>
      </c>
    </row>
    <row r="101" spans="52:66" ht="22.5" customHeight="1">
      <c r="AZ101" s="1023" t="s">
        <v>1964</v>
      </c>
      <c r="BA101" s="373" t="s">
        <v>1965</v>
      </c>
      <c r="BN101" s="629" t="s">
        <v>1966</v>
      </c>
    </row>
    <row r="102" spans="52:66" ht="22.5" customHeight="1">
      <c r="AZ102" s="1023" t="s">
        <v>1967</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1968</v>
      </c>
    </row>
    <row r="103" spans="52:66" ht="11.25" customHeight="1">
      <c r="AZ103" s="1023" t="s">
        <v>1969</v>
      </c>
      <c r="BA103" s="373" t="s">
        <v>1970</v>
      </c>
      <c r="BN103" s="629" t="s">
        <v>1971</v>
      </c>
    </row>
    <row r="104" spans="52:66" ht="11.25" customHeight="1">
      <c r="BN104" s="629" t="s">
        <v>1972</v>
      </c>
    </row>
    <row r="105" spans="52:66" ht="11.25" customHeight="1">
      <c r="AZ105" s="628" t="s">
        <v>1973</v>
      </c>
    </row>
    <row r="106" spans="52:66" ht="11.25" customHeight="1">
      <c r="AZ106" s="664" t="s">
        <v>1974</v>
      </c>
    </row>
    <row r="107" spans="52:66" ht="11.25" customHeight="1">
      <c r="AZ107" s="664" t="s">
        <v>1975</v>
      </c>
      <c r="BH107" s="628" t="s">
        <v>1976</v>
      </c>
      <c r="BJ107" s="628" t="s">
        <v>1977</v>
      </c>
      <c r="BL107" s="628" t="s">
        <v>1978</v>
      </c>
      <c r="BN107" s="628" t="s">
        <v>1979</v>
      </c>
    </row>
    <row r="108" spans="52:66" ht="11.25" customHeight="1">
      <c r="AZ108" s="664" t="s">
        <v>575</v>
      </c>
      <c r="BH108" s="629" t="s">
        <v>1980</v>
      </c>
      <c r="BJ108" s="629" t="s">
        <v>1981</v>
      </c>
      <c r="BL108" s="629" t="s">
        <v>1669</v>
      </c>
      <c r="BN108" s="629" t="s">
        <v>1982</v>
      </c>
    </row>
    <row r="109" spans="52:66" ht="11.25" customHeight="1">
      <c r="BH109" s="629" t="s">
        <v>1983</v>
      </c>
    </row>
    <row r="110" spans="52:66" ht="11.25" customHeight="1">
      <c r="AZ110" s="628" t="s">
        <v>1984</v>
      </c>
      <c r="BH110" s="629" t="s">
        <v>1983</v>
      </c>
    </row>
    <row r="111" spans="52:66" ht="11.25" customHeight="1">
      <c r="AZ111" s="1023" t="s">
        <v>1945</v>
      </c>
      <c r="BA111" s="373" t="s">
        <v>1946</v>
      </c>
    </row>
    <row r="112" spans="52:66" ht="11.25" customHeight="1">
      <c r="AZ112" s="1023" t="s">
        <v>1951</v>
      </c>
      <c r="BA112" s="373" t="s">
        <v>1952</v>
      </c>
    </row>
    <row r="113" spans="52:60" ht="22.5" customHeight="1">
      <c r="AZ113" s="1023" t="s">
        <v>1957</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3" t="s">
        <v>1962</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1985</v>
      </c>
    </row>
    <row r="115" spans="52:60" ht="22.5" customHeight="1">
      <c r="AZ115" s="1023" t="s">
        <v>1967</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1391</v>
      </c>
    </row>
    <row r="116" spans="52:60" ht="11.25" customHeight="1">
      <c r="AZ116" s="1023" t="s">
        <v>1969</v>
      </c>
      <c r="BA116" s="373" t="s">
        <v>1970</v>
      </c>
      <c r="BH116" s="629" t="s">
        <v>1419</v>
      </c>
    </row>
    <row r="117" spans="52:60" ht="11.25" customHeight="1">
      <c r="BH117" s="629" t="s">
        <v>1453</v>
      </c>
    </row>
    <row r="118" spans="52:60" ht="11.25" customHeight="1">
      <c r="BH118" s="629" t="s">
        <v>1486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305</v>
      </c>
      <c r="J1" s="254" t="s">
        <v>14</v>
      </c>
    </row>
    <row r="2" spans="1:10" ht="22.5" hidden="1" customHeight="1">
      <c r="A2" s="289"/>
      <c r="B2" s="289"/>
      <c r="C2" s="939" t="s">
        <v>122</v>
      </c>
      <c r="D2" s="835"/>
      <c r="E2" s="217"/>
      <c r="F2" s="856"/>
      <c r="H2" s="270"/>
      <c r="J2" s="254">
        <v>0</v>
      </c>
    </row>
    <row r="3" spans="1:10" ht="11.25" hidden="1" customHeight="1">
      <c r="J3" s="254">
        <v>0</v>
      </c>
    </row>
    <row r="4" spans="1:10" ht="11.45" customHeight="1">
      <c r="A4" s="857"/>
      <c r="B4" s="857"/>
      <c r="J4" s="254">
        <v>11</v>
      </c>
    </row>
    <row r="5" spans="1:10" ht="27.4" customHeight="1">
      <c r="D5" s="115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53"/>
      <c r="F5" s="1154"/>
      <c r="I5" s="413"/>
      <c r="J5" s="254">
        <v>26</v>
      </c>
    </row>
    <row r="6" spans="1:10" ht="18" customHeight="1">
      <c r="D6" s="1246" t="str">
        <f>IF(region_name=0,"Не определено",region_name)</f>
        <v>Ханты-Мансийский автономный округ</v>
      </c>
      <c r="E6" s="1246"/>
      <c r="F6" s="1246"/>
      <c r="I6" s="413"/>
      <c r="J6" s="254">
        <v>17</v>
      </c>
    </row>
    <row r="7" spans="1:10" s="272" customFormat="1" ht="11.45" customHeight="1">
      <c r="A7" s="288"/>
      <c r="B7" s="288"/>
      <c r="D7" s="412"/>
      <c r="E7" s="412"/>
      <c r="F7" s="435"/>
      <c r="G7" s="412"/>
      <c r="J7" s="272">
        <v>11</v>
      </c>
    </row>
    <row r="8" spans="1:10" ht="11.25" hidden="1" customHeight="1">
      <c r="A8" s="289"/>
      <c r="B8" s="289"/>
      <c r="C8" s="10"/>
      <c r="D8" s="14"/>
      <c r="E8" s="1252"/>
      <c r="F8" s="1252"/>
      <c r="J8" s="254">
        <v>0</v>
      </c>
    </row>
    <row r="9" spans="1:10" ht="11.45" customHeight="1">
      <c r="A9" s="289"/>
      <c r="B9" s="289"/>
      <c r="C9" s="10"/>
      <c r="D9" s="1249" t="s">
        <v>306</v>
      </c>
      <c r="E9" s="1250"/>
      <c r="F9" s="1250"/>
      <c r="G9" s="1253" t="s">
        <v>307</v>
      </c>
      <c r="J9" s="254">
        <v>11</v>
      </c>
    </row>
    <row r="10" spans="1:10" ht="11.45" customHeight="1">
      <c r="A10" s="289"/>
      <c r="B10" s="289"/>
      <c r="C10" s="10"/>
      <c r="D10" s="268" t="s">
        <v>88</v>
      </c>
      <c r="E10" s="252" t="s">
        <v>308</v>
      </c>
      <c r="F10" s="252" t="s">
        <v>309</v>
      </c>
      <c r="G10" s="1254"/>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5" t="str">
        <f>IF(org="","",org)</f>
        <v>Сургутское городское муниципальное унитарное предприятие "Горводоканал"</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899999999999999" customHeight="1">
      <c r="A13" s="289"/>
      <c r="B13" s="289"/>
      <c r="C13" s="10"/>
      <c r="D13" s="835">
        <v>2</v>
      </c>
      <c r="E13" s="709" t="s">
        <v>1986</v>
      </c>
      <c r="F13" s="41" t="s">
        <v>312</v>
      </c>
      <c r="G13" s="269"/>
      <c r="H13" s="841"/>
      <c r="J13" s="254">
        <v>19</v>
      </c>
    </row>
    <row r="14" spans="1:10" ht="19.899999999999999" customHeight="1">
      <c r="A14" s="289"/>
      <c r="B14" s="289"/>
      <c r="C14" s="10"/>
      <c r="D14" s="836" t="s">
        <v>725</v>
      </c>
      <c r="E14" s="323" t="s">
        <v>1987</v>
      </c>
      <c r="F14" s="217"/>
      <c r="G14" s="67" t="s">
        <v>1988</v>
      </c>
      <c r="H14" s="841"/>
      <c r="J14" s="254">
        <v>19</v>
      </c>
    </row>
    <row r="15" spans="1:10" ht="19.899999999999999" customHeight="1">
      <c r="A15" s="289"/>
      <c r="B15" s="289"/>
      <c r="C15" s="10"/>
      <c r="D15" s="836" t="s">
        <v>313</v>
      </c>
      <c r="E15" s="323" t="s">
        <v>1989</v>
      </c>
      <c r="F15" s="217"/>
      <c r="G15" s="67" t="s">
        <v>1990</v>
      </c>
      <c r="H15" s="841"/>
      <c r="J15" s="254">
        <v>19</v>
      </c>
    </row>
    <row r="16" spans="1:10" ht="24" customHeight="1">
      <c r="A16" s="289"/>
      <c r="B16" s="289"/>
      <c r="C16" s="10"/>
      <c r="D16" s="836" t="s">
        <v>316</v>
      </c>
      <c r="E16" s="177" t="s">
        <v>1991</v>
      </c>
      <c r="F16" s="37"/>
      <c r="G16" s="269" t="s">
        <v>1992</v>
      </c>
      <c r="H16" s="841"/>
      <c r="J16" s="254">
        <v>23</v>
      </c>
    </row>
    <row r="17" spans="1:10" ht="48.2" customHeight="1">
      <c r="A17" s="289"/>
      <c r="B17" s="289"/>
      <c r="C17" s="10"/>
      <c r="D17" s="835">
        <v>3</v>
      </c>
      <c r="E17" s="709" t="s">
        <v>1993</v>
      </c>
      <c r="F17" s="217"/>
      <c r="G17" s="269" t="s">
        <v>1994</v>
      </c>
      <c r="H17" s="841"/>
      <c r="J17" s="254">
        <v>46</v>
      </c>
    </row>
    <row r="18" spans="1:10" ht="48.2" customHeight="1">
      <c r="A18" s="817">
        <v>1</v>
      </c>
      <c r="B18" s="289"/>
      <c r="C18" s="818"/>
      <c r="D18" s="835" t="s">
        <v>91</v>
      </c>
      <c r="E18" s="709" t="s">
        <v>1995</v>
      </c>
      <c r="F18" s="217"/>
      <c r="G18" s="269" t="s">
        <v>1994</v>
      </c>
      <c r="H18" s="841"/>
      <c r="I18" s="489"/>
      <c r="J18" s="254">
        <v>46</v>
      </c>
    </row>
    <row r="19" spans="1:10" ht="23.25" customHeight="1">
      <c r="A19" s="289"/>
      <c r="B19" s="289"/>
      <c r="C19" s="10"/>
      <c r="D19" s="835" t="s">
        <v>111</v>
      </c>
      <c r="E19" s="709" t="s">
        <v>1996</v>
      </c>
      <c r="F19" s="41" t="s">
        <v>312</v>
      </c>
      <c r="G19" s="1524" t="s">
        <v>1997</v>
      </c>
      <c r="H19" s="270"/>
      <c r="J19" s="254">
        <v>22</v>
      </c>
    </row>
    <row r="20" spans="1:10" s="839" customFormat="1" ht="5.25" hidden="1" customHeight="1">
      <c r="A20" s="289"/>
      <c r="B20" s="289"/>
      <c r="C20" s="838"/>
      <c r="D20" s="837" t="s">
        <v>1290</v>
      </c>
      <c r="E20" s="594"/>
      <c r="F20" s="316"/>
      <c r="G20" s="1525"/>
      <c r="J20" s="839">
        <v>0</v>
      </c>
    </row>
    <row r="21" spans="1:10" ht="15.75" customHeight="1">
      <c r="A21" s="289"/>
      <c r="B21" s="289"/>
      <c r="C21" s="10"/>
      <c r="D21" s="263"/>
      <c r="E21" s="110" t="s">
        <v>345</v>
      </c>
      <c r="F21" s="265"/>
      <c r="G21" s="1526"/>
      <c r="H21" s="841"/>
      <c r="J21" s="254">
        <v>15</v>
      </c>
    </row>
    <row r="22" spans="1:10" s="288" customFormat="1" ht="26.25" customHeight="1">
      <c r="A22" s="289"/>
      <c r="B22" s="289"/>
      <c r="C22" s="289"/>
      <c r="D22" s="835" t="s">
        <v>92</v>
      </c>
      <c r="E22" s="269" t="s">
        <v>1998</v>
      </c>
      <c r="F22" s="217"/>
      <c r="G22" s="269" t="s">
        <v>1999</v>
      </c>
      <c r="H22" s="840"/>
      <c r="J22" s="288">
        <v>25</v>
      </c>
    </row>
    <row r="23" spans="1:10" s="288" customFormat="1" ht="19.899999999999999" customHeight="1">
      <c r="A23" s="289"/>
      <c r="B23" s="289"/>
      <c r="C23" s="289"/>
      <c r="D23" s="835" t="s">
        <v>93</v>
      </c>
      <c r="E23" s="709" t="s">
        <v>2000</v>
      </c>
      <c r="F23" s="37"/>
      <c r="G23" s="269" t="s">
        <v>2001</v>
      </c>
      <c r="H23" s="840"/>
      <c r="J23" s="288">
        <v>19</v>
      </c>
    </row>
    <row r="24" spans="1:10" s="288" customFormat="1" ht="144" hidden="1" customHeight="1">
      <c r="A24" s="289"/>
      <c r="B24" s="289"/>
      <c r="C24" s="289"/>
      <c r="D24" s="835" t="s">
        <v>112</v>
      </c>
      <c r="E24" s="10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1"/>
      <c r="G24" s="10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2002</v>
      </c>
      <c r="G1" s="11" t="s">
        <v>48</v>
      </c>
      <c r="H1" s="11" t="s">
        <v>50</v>
      </c>
      <c r="IU1" s="11" t="s">
        <v>14</v>
      </c>
    </row>
    <row r="2" spans="1:255" ht="22.5" hidden="1" customHeight="1">
      <c r="A2" s="80"/>
      <c r="B2" s="63">
        <v>1</v>
      </c>
      <c r="C2" s="63"/>
      <c r="D2" s="1036" t="s">
        <v>122</v>
      </c>
      <c r="E2" s="41"/>
      <c r="F2" s="113"/>
      <c r="G2" s="113"/>
      <c r="H2" s="113"/>
      <c r="I2" s="1051"/>
      <c r="J2" s="1052"/>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4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45"/>
      <c r="G5" s="1145"/>
      <c r="H5" s="1145"/>
      <c r="I5" s="1145"/>
      <c r="J5" s="1145"/>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23" t="s">
        <v>306</v>
      </c>
      <c r="F7" s="1146"/>
      <c r="G7" s="1146"/>
      <c r="H7" s="1146"/>
      <c r="I7" s="1146"/>
      <c r="J7" s="1527" t="s">
        <v>307</v>
      </c>
      <c r="K7" s="69"/>
      <c r="L7" s="69"/>
      <c r="M7" s="69"/>
      <c r="N7" s="69"/>
      <c r="O7" s="69"/>
      <c r="P7" s="69"/>
      <c r="Q7" s="126"/>
      <c r="R7" s="126"/>
      <c r="S7" s="126"/>
      <c r="T7" s="126"/>
      <c r="IU7" s="45">
        <v>14</v>
      </c>
    </row>
    <row r="8" spans="1:255" s="45" customFormat="1" ht="21" customHeight="1">
      <c r="A8" s="11"/>
      <c r="B8" s="63"/>
      <c r="C8" s="11"/>
      <c r="D8" s="77"/>
      <c r="E8" s="855" t="s">
        <v>88</v>
      </c>
      <c r="F8" s="848" t="s">
        <v>2002</v>
      </c>
      <c r="G8" s="848" t="s">
        <v>48</v>
      </c>
      <c r="H8" s="848" t="s">
        <v>50</v>
      </c>
      <c r="I8" s="848" t="s">
        <v>2003</v>
      </c>
      <c r="J8" s="1528"/>
      <c r="K8" s="69"/>
      <c r="L8" s="69"/>
      <c r="M8" s="69"/>
      <c r="N8" s="69"/>
      <c r="O8" s="69"/>
      <c r="P8" s="69"/>
      <c r="Q8" s="126"/>
      <c r="R8" s="126"/>
      <c r="S8" s="126"/>
      <c r="T8" s="126"/>
      <c r="IU8" s="45">
        <v>20</v>
      </c>
    </row>
    <row r="9" spans="1:255" ht="23.25" customHeight="1">
      <c r="B9" s="63">
        <v>1</v>
      </c>
      <c r="C9" s="63"/>
      <c r="D9" s="462"/>
      <c r="E9" s="41">
        <v>1</v>
      </c>
      <c r="F9" s="854"/>
      <c r="G9" s="113"/>
      <c r="H9" s="113"/>
      <c r="I9" s="846"/>
      <c r="J9" s="12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2004</v>
      </c>
      <c r="G10" s="850"/>
      <c r="H10" s="850"/>
      <c r="I10" s="1022"/>
      <c r="J10" s="1211"/>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6" t="s">
        <v>122</v>
      </c>
      <c r="E2" s="389"/>
      <c r="F2" s="1018" t="str">
        <f>IF(ROIV_INFO_NAME="","",ROIV_INFO_NAME)</f>
        <v>Сургутское городское муниципальное унитарное предприятие "Горводоканал"</v>
      </c>
      <c r="G2" s="1030" t="s">
        <v>22</v>
      </c>
      <c r="H2" s="1029"/>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4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45"/>
      <c r="G5" s="1145"/>
      <c r="H5" s="1145"/>
      <c r="I5" s="1145"/>
      <c r="J5" s="1145"/>
      <c r="K5" s="1145"/>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3" t="s">
        <v>306</v>
      </c>
      <c r="F7" s="1146"/>
      <c r="G7" s="1146"/>
      <c r="H7" s="1146"/>
      <c r="I7" s="1146"/>
      <c r="J7" s="1146"/>
      <c r="K7" s="1146"/>
      <c r="L7" s="1527" t="s">
        <v>307</v>
      </c>
      <c r="M7" s="69"/>
      <c r="N7" s="69"/>
      <c r="O7" s="69"/>
      <c r="P7" s="69"/>
      <c r="Q7" s="69"/>
      <c r="R7" s="69"/>
      <c r="S7" s="126"/>
      <c r="T7" s="126"/>
      <c r="U7" s="126"/>
      <c r="V7" s="126"/>
      <c r="IW7" s="45">
        <v>14</v>
      </c>
    </row>
    <row r="8" spans="1:257" s="45" customFormat="1" ht="67.150000000000006" customHeight="1">
      <c r="A8" s="11"/>
      <c r="B8" s="63"/>
      <c r="C8" s="11"/>
      <c r="D8" s="77"/>
      <c r="E8" s="1531" t="s">
        <v>88</v>
      </c>
      <c r="F8" s="153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53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534"/>
      <c r="I8" s="1535"/>
      <c r="J8" s="153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5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29"/>
      <c r="M8" s="69"/>
      <c r="N8" s="69"/>
      <c r="O8" s="69"/>
      <c r="P8" s="69"/>
      <c r="Q8" s="69"/>
      <c r="R8" s="69"/>
      <c r="S8" s="126"/>
      <c r="T8" s="126"/>
      <c r="U8" s="126"/>
      <c r="V8" s="126"/>
      <c r="IW8" s="45">
        <v>64</v>
      </c>
    </row>
    <row r="9" spans="1:257" s="45" customFormat="1" ht="29.25" customHeight="1">
      <c r="A9" s="11"/>
      <c r="B9" s="63"/>
      <c r="C9" s="11"/>
      <c r="D9" s="77"/>
      <c r="E9" s="1532"/>
      <c r="F9" s="1532"/>
      <c r="G9" s="845" t="s">
        <v>2005</v>
      </c>
      <c r="H9" s="845" t="s">
        <v>2006</v>
      </c>
      <c r="I9" s="845" t="s">
        <v>2007</v>
      </c>
      <c r="J9" s="1532"/>
      <c r="K9" s="1532"/>
      <c r="L9" s="1528"/>
      <c r="M9" s="69"/>
      <c r="N9" s="69"/>
      <c r="O9" s="69"/>
      <c r="P9" s="69"/>
      <c r="Q9" s="69"/>
      <c r="R9" s="69"/>
      <c r="S9" s="126"/>
      <c r="T9" s="126"/>
      <c r="U9" s="126"/>
      <c r="V9" s="126"/>
      <c r="IW9" s="45">
        <v>28</v>
      </c>
    </row>
    <row r="10" spans="1:257" ht="23.25" customHeight="1">
      <c r="A10" s="1144"/>
      <c r="B10" s="63">
        <v>1</v>
      </c>
      <c r="C10" s="63"/>
      <c r="D10" s="461"/>
      <c r="E10" s="447">
        <v>1</v>
      </c>
      <c r="F10" s="847" t="str">
        <f>IF(ROIV_INFO_NAME="","",ROIV_INFO_NAME)</f>
        <v>Сургутское городское муниципальное унитарное предприятие "Горводоканал"</v>
      </c>
      <c r="G10" s="941" t="s">
        <v>22</v>
      </c>
      <c r="H10" s="1029"/>
      <c r="I10" s="842"/>
      <c r="J10" s="228"/>
      <c r="K10" s="228"/>
      <c r="L10" s="151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44"/>
      <c r="C11" s="235"/>
      <c r="D11" s="462"/>
      <c r="E11" s="237"/>
      <c r="F11" s="52" t="s">
        <v>2008</v>
      </c>
      <c r="G11" s="97"/>
      <c r="H11" s="97"/>
      <c r="I11" s="97"/>
      <c r="J11" s="97"/>
      <c r="K11" s="238"/>
      <c r="L11" s="153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6" t="s">
        <v>122</v>
      </c>
      <c r="E2" s="41"/>
      <c r="F2" s="1018" t="str">
        <f>IF(ROIV_INFO_NAME="","",ROIV_INFO_NAME)</f>
        <v>Сургутское городское муниципальное унитарное предприятие "Горводоканал"</v>
      </c>
      <c r="G2" s="941" t="s">
        <v>22</v>
      </c>
      <c r="H2" s="1029"/>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4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45"/>
      <c r="G5" s="1145"/>
      <c r="H5" s="1145"/>
      <c r="I5" s="1145"/>
      <c r="J5" s="1145"/>
      <c r="K5" s="1145"/>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3" t="s">
        <v>306</v>
      </c>
      <c r="F7" s="1146"/>
      <c r="G7" s="1146"/>
      <c r="H7" s="1146"/>
      <c r="I7" s="1146"/>
      <c r="J7" s="1146"/>
      <c r="K7" s="1146"/>
      <c r="L7" s="1527" t="s">
        <v>307</v>
      </c>
      <c r="M7" s="69"/>
      <c r="N7" s="69"/>
      <c r="O7" s="69"/>
      <c r="P7" s="69"/>
      <c r="Q7" s="69"/>
      <c r="R7" s="69"/>
      <c r="S7" s="126"/>
      <c r="T7" s="126"/>
      <c r="U7" s="126"/>
      <c r="V7" s="126"/>
      <c r="IW7" s="45">
        <v>14</v>
      </c>
    </row>
    <row r="8" spans="1:257" s="45" customFormat="1" ht="67.150000000000006" customHeight="1">
      <c r="A8" s="11"/>
      <c r="B8" s="63"/>
      <c r="C8" s="11"/>
      <c r="D8" s="77"/>
      <c r="E8" s="1531" t="s">
        <v>88</v>
      </c>
      <c r="F8" s="1531" t="s">
        <v>2009</v>
      </c>
      <c r="G8" s="1533" t="s">
        <v>2010</v>
      </c>
      <c r="H8" s="1534"/>
      <c r="I8" s="1535"/>
      <c r="J8" s="1531" t="s">
        <v>2011</v>
      </c>
      <c r="K8" s="15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29"/>
      <c r="M8" s="69"/>
      <c r="N8" s="69"/>
      <c r="O8" s="69"/>
      <c r="P8" s="69"/>
      <c r="Q8" s="69"/>
      <c r="R8" s="69"/>
      <c r="S8" s="126"/>
      <c r="T8" s="126"/>
      <c r="U8" s="126"/>
      <c r="V8" s="126"/>
      <c r="IW8" s="45">
        <v>64</v>
      </c>
    </row>
    <row r="9" spans="1:257" s="45" customFormat="1" ht="29.25" customHeight="1">
      <c r="A9" s="11"/>
      <c r="B9" s="63"/>
      <c r="C9" s="11"/>
      <c r="D9" s="77"/>
      <c r="E9" s="1532"/>
      <c r="F9" s="1532"/>
      <c r="G9" s="845" t="s">
        <v>2005</v>
      </c>
      <c r="H9" s="845" t="s">
        <v>2006</v>
      </c>
      <c r="I9" s="845" t="s">
        <v>2007</v>
      </c>
      <c r="J9" s="1532"/>
      <c r="K9" s="1532"/>
      <c r="L9" s="1528"/>
      <c r="M9" s="69"/>
      <c r="N9" s="69"/>
      <c r="O9" s="69"/>
      <c r="P9" s="69"/>
      <c r="Q9" s="69"/>
      <c r="R9" s="69"/>
      <c r="S9" s="126"/>
      <c r="T9" s="126"/>
      <c r="U9" s="126"/>
      <c r="V9" s="126"/>
      <c r="IW9" s="45">
        <v>28</v>
      </c>
    </row>
    <row r="10" spans="1:257" ht="1.1499999999999999" customHeight="1">
      <c r="A10" s="1144"/>
      <c r="B10" s="63">
        <v>1</v>
      </c>
      <c r="C10" s="63"/>
      <c r="D10" s="461"/>
      <c r="E10" s="457">
        <v>0</v>
      </c>
      <c r="F10" s="1017" t="str">
        <f>IF(ROIV_INFO_NAME="","",ROIV_INFO_NAME)</f>
        <v>Сургутское городское муниципальное унитарное предприятие "Горводоканал"</v>
      </c>
      <c r="G10" s="942" t="s">
        <v>22</v>
      </c>
      <c r="H10" s="1024"/>
      <c r="I10" s="1024"/>
      <c r="J10" s="295"/>
      <c r="K10" s="295"/>
      <c r="L10" s="151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44"/>
      <c r="C11" s="235"/>
      <c r="D11" s="462"/>
      <c r="E11" s="237"/>
      <c r="F11" s="52" t="s">
        <v>2008</v>
      </c>
      <c r="G11" s="97"/>
      <c r="H11" s="97"/>
      <c r="I11" s="97"/>
      <c r="J11" s="97"/>
      <c r="K11" s="238"/>
      <c r="L11" s="153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6" t="s">
        <v>122</v>
      </c>
      <c r="E2" s="1159">
        <v>1</v>
      </c>
      <c r="F2" s="1332" t="str">
        <f>IF(region_name="","",region_name)</f>
        <v>Ханты-Мансийский автономный округ</v>
      </c>
      <c r="G2" s="1544"/>
      <c r="H2" s="1545"/>
      <c r="I2" s="269"/>
      <c r="J2" s="389">
        <v>1</v>
      </c>
      <c r="K2" s="217"/>
      <c r="L2" s="217"/>
      <c r="M2" s="217"/>
      <c r="N2" s="282"/>
      <c r="O2" s="843"/>
      <c r="P2" s="68"/>
      <c r="Q2">
        <v>0</v>
      </c>
    </row>
    <row r="3" spans="1:17" ht="22.5" hidden="1" customHeight="1">
      <c r="A3" s="80"/>
      <c r="C3" s="63"/>
      <c r="D3" s="462"/>
      <c r="E3" s="1159"/>
      <c r="F3" s="1332"/>
      <c r="G3" s="1544"/>
      <c r="H3" s="1455"/>
      <c r="I3" s="237"/>
      <c r="J3" s="823"/>
      <c r="K3" s="823" t="s">
        <v>2012</v>
      </c>
      <c r="L3" s="851"/>
      <c r="M3" s="1033"/>
      <c r="N3" s="1026"/>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6"/>
      <c r="F5" s="1026"/>
      <c r="G5" s="1026"/>
      <c r="H5" s="1035"/>
      <c r="I5" s="1037" t="s">
        <v>122</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53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38"/>
      <c r="G7" s="1538"/>
      <c r="H7" s="1538"/>
      <c r="I7" s="1538"/>
      <c r="J7" s="1538"/>
      <c r="K7" s="1538"/>
      <c r="L7" s="1538"/>
      <c r="M7" s="1538"/>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27"/>
      <c r="F9" s="1027"/>
      <c r="G9" s="1027"/>
      <c r="H9" s="1027"/>
      <c r="I9" s="1541"/>
      <c r="J9" s="1541"/>
      <c r="K9" s="1541"/>
      <c r="L9" s="1027"/>
      <c r="M9" s="1028"/>
      <c r="O9" s="346"/>
      <c r="P9" s="346"/>
      <c r="Q9" s="853">
        <v>0</v>
      </c>
    </row>
    <row r="10" spans="1:17" s="45" customFormat="1" ht="14.65" customHeight="1">
      <c r="A10" s="11"/>
      <c r="B10" s="63"/>
      <c r="C10" s="11"/>
      <c r="D10" s="77"/>
      <c r="E10" s="1159" t="s">
        <v>306</v>
      </c>
      <c r="F10" s="1159"/>
      <c r="G10" s="1159"/>
      <c r="H10" s="1159"/>
      <c r="I10" s="1159"/>
      <c r="J10" s="1159"/>
      <c r="K10" s="1159"/>
      <c r="L10" s="1159"/>
      <c r="M10" s="1123"/>
      <c r="N10" s="1531" t="s">
        <v>307</v>
      </c>
      <c r="O10" s="69"/>
      <c r="P10" s="69"/>
      <c r="Q10" s="45">
        <v>14</v>
      </c>
    </row>
    <row r="11" spans="1:17" s="45" customFormat="1" ht="44.25" customHeight="1">
      <c r="A11" s="11"/>
      <c r="B11" s="63"/>
      <c r="C11" s="11"/>
      <c r="D11" s="77"/>
      <c r="E11" s="1540" t="s">
        <v>88</v>
      </c>
      <c r="F11" s="1540" t="s">
        <v>310</v>
      </c>
      <c r="G11" s="1540" t="s">
        <v>2013</v>
      </c>
      <c r="H11" s="1540"/>
      <c r="I11" s="1540" t="s">
        <v>2014</v>
      </c>
      <c r="J11" s="1540"/>
      <c r="K11" s="1540"/>
      <c r="L11" s="1540" t="s">
        <v>2015</v>
      </c>
      <c r="M11" s="1533" t="s">
        <v>2016</v>
      </c>
      <c r="N11" s="1539"/>
      <c r="O11" s="69"/>
      <c r="P11" s="69"/>
      <c r="Q11" s="45">
        <v>42</v>
      </c>
    </row>
    <row r="12" spans="1:17" s="45" customFormat="1" ht="29.25" customHeight="1">
      <c r="A12" s="11"/>
      <c r="B12" s="63"/>
      <c r="C12" s="11"/>
      <c r="D12" s="77"/>
      <c r="E12" s="1531"/>
      <c r="F12" s="1540"/>
      <c r="G12" s="83" t="s">
        <v>2017</v>
      </c>
      <c r="H12" s="83" t="s">
        <v>314</v>
      </c>
      <c r="I12" s="1540"/>
      <c r="J12" s="1540"/>
      <c r="K12" s="1540"/>
      <c r="L12" s="1540"/>
      <c r="M12" s="1533"/>
      <c r="N12" s="1532"/>
      <c r="O12" s="69"/>
      <c r="P12" s="69"/>
      <c r="Q12" s="45">
        <v>28</v>
      </c>
    </row>
    <row r="13" spans="1:17" ht="23.25" customHeight="1">
      <c r="A13" s="1144">
        <v>26379339</v>
      </c>
      <c r="B13" s="63">
        <v>1</v>
      </c>
      <c r="C13" s="63"/>
      <c r="D13" s="462"/>
      <c r="E13" s="1159">
        <v>1</v>
      </c>
      <c r="F13" s="1546" t="str">
        <f>IF(region_name="","",region_name)</f>
        <v>Ханты-Мансийский автономный округ</v>
      </c>
      <c r="G13" s="1547"/>
      <c r="H13" s="1542"/>
      <c r="I13" s="269"/>
      <c r="J13" s="447">
        <v>1</v>
      </c>
      <c r="K13" s="1031"/>
      <c r="L13" s="1032"/>
      <c r="M13" s="1032"/>
      <c r="N13" s="1536" t="s">
        <v>2018</v>
      </c>
      <c r="O13" s="843"/>
      <c r="P13" s="68"/>
      <c r="Q13">
        <v>22</v>
      </c>
    </row>
    <row r="14" spans="1:17" ht="23.25" customHeight="1">
      <c r="A14" s="1144"/>
      <c r="C14" s="63"/>
      <c r="D14" s="462"/>
      <c r="E14" s="1159"/>
      <c r="F14" s="1546"/>
      <c r="G14" s="1547"/>
      <c r="H14" s="1543"/>
      <c r="I14" s="237"/>
      <c r="J14" s="823"/>
      <c r="K14" s="823" t="s">
        <v>2012</v>
      </c>
      <c r="L14" s="851"/>
      <c r="M14" s="851"/>
      <c r="N14" s="1537"/>
      <c r="O14" s="843"/>
      <c r="P14" s="68"/>
      <c r="Q14">
        <v>22</v>
      </c>
    </row>
    <row r="15" spans="1:17" ht="23.25" customHeight="1">
      <c r="A15" s="1144"/>
      <c r="C15" s="235"/>
      <c r="D15" s="462"/>
      <c r="E15" s="237"/>
      <c r="F15" s="823" t="s">
        <v>2004</v>
      </c>
      <c r="G15" s="850"/>
      <c r="H15" s="850"/>
      <c r="I15" s="97"/>
      <c r="J15" s="97"/>
      <c r="K15" s="97"/>
      <c r="L15" s="97"/>
      <c r="M15" s="97"/>
      <c r="N15" s="1537"/>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45" t="s">
        <v>2019</v>
      </c>
      <c r="E5" s="1145"/>
      <c r="F5" s="1145"/>
      <c r="G5" s="1145"/>
      <c r="H5" s="1145"/>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54" t="s">
        <v>306</v>
      </c>
      <c r="E8" s="1254"/>
      <c r="F8" s="1254"/>
      <c r="G8" s="1254"/>
      <c r="H8" s="1254"/>
      <c r="I8" s="1254" t="s">
        <v>307</v>
      </c>
      <c r="M8" s="34">
        <v>14</v>
      </c>
    </row>
    <row r="9" spans="1:13" ht="29.25" customHeight="1">
      <c r="D9" s="1254" t="s">
        <v>88</v>
      </c>
      <c r="E9" s="1254" t="s">
        <v>2020</v>
      </c>
      <c r="F9" s="1254"/>
      <c r="G9" s="1254"/>
      <c r="H9" s="1254"/>
      <c r="I9" s="1254"/>
      <c r="M9" s="34">
        <v>28</v>
      </c>
    </row>
    <row r="10" spans="1:13" ht="24" customHeight="1">
      <c r="D10" s="1254"/>
      <c r="E10" s="36" t="s">
        <v>2021</v>
      </c>
      <c r="F10" s="36" t="s">
        <v>2022</v>
      </c>
      <c r="G10" s="36" t="s">
        <v>2023</v>
      </c>
      <c r="H10" s="36" t="s">
        <v>396</v>
      </c>
      <c r="I10" s="1254"/>
      <c r="M10" s="34">
        <v>23</v>
      </c>
    </row>
    <row r="11" spans="1:13" ht="12" hidden="1" customHeight="1">
      <c r="D11" s="22" t="s">
        <v>109</v>
      </c>
      <c r="E11" s="22" t="s">
        <v>91</v>
      </c>
      <c r="F11" s="22" t="s">
        <v>111</v>
      </c>
      <c r="G11" s="22" t="s">
        <v>92</v>
      </c>
      <c r="H11" s="22" t="s">
        <v>93</v>
      </c>
      <c r="I11" s="22" t="s">
        <v>112</v>
      </c>
      <c r="M11" s="34">
        <v>0</v>
      </c>
    </row>
    <row r="12" spans="1:13" s="34" customFormat="1" ht="26.25" customHeight="1">
      <c r="A12" s="62" t="s">
        <v>90</v>
      </c>
      <c r="B12" s="34" t="s">
        <v>22</v>
      </c>
      <c r="C12" s="50"/>
      <c r="D12" s="43" t="s">
        <v>109</v>
      </c>
      <c r="E12" s="217"/>
      <c r="F12" s="217"/>
      <c r="G12" s="943" t="s">
        <v>22</v>
      </c>
      <c r="H12" s="117"/>
      <c r="I12" s="1209" t="s">
        <v>2024</v>
      </c>
      <c r="K12" s="160"/>
      <c r="L12" s="104"/>
      <c r="M12" s="34">
        <v>25</v>
      </c>
    </row>
    <row r="13" spans="1:13" ht="15.75" customHeight="1">
      <c r="A13" s="34"/>
      <c r="C13" s="34"/>
      <c r="D13" s="40"/>
      <c r="E13" s="52" t="s">
        <v>470</v>
      </c>
      <c r="F13" s="51"/>
      <c r="G13" s="51"/>
      <c r="H13" s="108"/>
      <c r="I13" s="1211"/>
      <c r="M13" s="34">
        <v>15</v>
      </c>
    </row>
    <row r="14" spans="1:13" ht="3" customHeight="1">
      <c r="A14" s="34"/>
      <c r="C14" s="34"/>
      <c r="M14" s="34">
        <v>3</v>
      </c>
    </row>
    <row r="15" spans="1:13" ht="29.25" customHeight="1">
      <c r="E15" s="1548" t="s">
        <v>2025</v>
      </c>
      <c r="F15" s="1548"/>
      <c r="G15" s="1548"/>
      <c r="H15" s="1548"/>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549" t="s">
        <v>2026</v>
      </c>
      <c r="E7" s="1550"/>
      <c r="F7" s="157"/>
      <c r="J7" s="6">
        <v>22</v>
      </c>
    </row>
    <row r="8" spans="1:10" ht="3" customHeight="1">
      <c r="C8" s="25"/>
      <c r="D8" s="7"/>
      <c r="E8" s="7"/>
      <c r="J8" s="6">
        <v>3</v>
      </c>
    </row>
    <row r="9" spans="1:10" ht="16.899999999999999" customHeight="1">
      <c r="C9" s="25"/>
      <c r="D9" s="36" t="s">
        <v>88</v>
      </c>
      <c r="E9" s="41" t="s">
        <v>2027</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2028</v>
      </c>
      <c r="J13" s="6">
        <v>12</v>
      </c>
    </row>
    <row r="14" spans="1:10" ht="3" customHeight="1">
      <c r="J14" s="6">
        <v>3</v>
      </c>
    </row>
    <row r="15" spans="1:10" ht="23.25" customHeight="1">
      <c r="C15" s="56"/>
      <c r="D15" s="1548" t="s">
        <v>2029</v>
      </c>
      <c r="E15" s="1548"/>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8"/>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3:13" ht="14.25" hidden="1" customHeight="1">
      <c r="M1" s="6" t="s">
        <v>14</v>
      </c>
    </row>
    <row r="2" spans="3:13" ht="14.25" hidden="1" customHeight="1">
      <c r="M2" s="6">
        <v>0</v>
      </c>
    </row>
    <row r="3" spans="3:13" ht="14.25" hidden="1" customHeight="1">
      <c r="M3" s="6">
        <v>0</v>
      </c>
    </row>
    <row r="4" spans="3:13" ht="14.25" hidden="1" customHeight="1">
      <c r="M4" s="6">
        <v>0</v>
      </c>
    </row>
    <row r="5" spans="3:13" ht="14.25" hidden="1" customHeight="1">
      <c r="M5" s="6">
        <v>0</v>
      </c>
    </row>
    <row r="6" spans="3:13" ht="3" customHeight="1">
      <c r="C6" s="25"/>
      <c r="D6" s="7"/>
      <c r="E6" s="7"/>
      <c r="M6" s="6">
        <v>3</v>
      </c>
    </row>
    <row r="7" spans="3:13" ht="23.25" customHeight="1">
      <c r="C7" s="25"/>
      <c r="D7" s="1145" t="s">
        <v>2030</v>
      </c>
      <c r="E7" s="1145"/>
      <c r="F7" s="157"/>
      <c r="M7" s="6">
        <v>22</v>
      </c>
    </row>
    <row r="8" spans="3:13" ht="3" customHeight="1">
      <c r="C8" s="25"/>
      <c r="D8" s="7"/>
      <c r="E8" s="7"/>
      <c r="M8" s="6">
        <v>3</v>
      </c>
    </row>
    <row r="9" spans="3:13" ht="16.899999999999999" customHeight="1">
      <c r="C9" s="25"/>
      <c r="D9" s="36" t="s">
        <v>88</v>
      </c>
      <c r="E9" s="39" t="s">
        <v>293</v>
      </c>
      <c r="M9" s="6">
        <v>16</v>
      </c>
    </row>
    <row r="10" spans="3:13" ht="12.75" customHeight="1">
      <c r="C10" s="25"/>
      <c r="D10" s="22" t="s">
        <v>109</v>
      </c>
      <c r="E10" s="22" t="s">
        <v>110</v>
      </c>
      <c r="M10" s="6">
        <v>12</v>
      </c>
    </row>
    <row r="11" spans="3:13" ht="15" hidden="1" customHeight="1">
      <c r="C11" s="25"/>
      <c r="D11" s="44">
        <v>0</v>
      </c>
      <c r="E11" s="65"/>
      <c r="M11" s="6">
        <v>0</v>
      </c>
    </row>
    <row r="12" spans="3:13" ht="98.25" customHeight="1">
      <c r="C12" s="984" t="s">
        <v>122</v>
      </c>
      <c r="D12" s="44" t="s">
        <v>109</v>
      </c>
      <c r="E12" s="37" t="s">
        <v>2031</v>
      </c>
    </row>
    <row r="13" spans="3:13" ht="52.5" customHeight="1">
      <c r="C13" s="984" t="s">
        <v>122</v>
      </c>
      <c r="D13" s="44" t="s">
        <v>110</v>
      </c>
      <c r="E13" s="37" t="s">
        <v>2032</v>
      </c>
    </row>
    <row r="14" spans="3:13" ht="111" customHeight="1">
      <c r="C14" s="984" t="s">
        <v>122</v>
      </c>
      <c r="D14" s="44" t="s">
        <v>90</v>
      </c>
      <c r="E14" s="37" t="s">
        <v>2033</v>
      </c>
    </row>
    <row r="15" spans="3:13" ht="87.75" customHeight="1">
      <c r="C15" s="984" t="s">
        <v>122</v>
      </c>
      <c r="D15" s="44" t="s">
        <v>91</v>
      </c>
      <c r="E15" s="37" t="s">
        <v>2034</v>
      </c>
    </row>
    <row r="16" spans="3:13" ht="69.75" customHeight="1">
      <c r="C16" s="984" t="s">
        <v>122</v>
      </c>
      <c r="D16" s="44" t="s">
        <v>111</v>
      </c>
      <c r="E16" s="37" t="s">
        <v>2035</v>
      </c>
    </row>
    <row r="17" spans="1:13" ht="14.65" customHeight="1">
      <c r="C17" s="25"/>
      <c r="D17" s="40"/>
      <c r="E17" s="38" t="s">
        <v>2028</v>
      </c>
      <c r="M17" s="6">
        <v>14</v>
      </c>
    </row>
    <row r="18" spans="1:13" ht="14.25" hidden="1" customHeight="1">
      <c r="A18" s="6" t="s">
        <v>82</v>
      </c>
      <c r="B18" s="6">
        <v>0</v>
      </c>
      <c r="C18" s="24">
        <v>3</v>
      </c>
      <c r="D18" s="6">
        <v>6</v>
      </c>
      <c r="E18" s="6">
        <v>94</v>
      </c>
      <c r="F18" s="6">
        <v>8</v>
      </c>
      <c r="G18" s="6">
        <v>8</v>
      </c>
      <c r="H18" s="6">
        <v>8</v>
      </c>
      <c r="I18" s="6">
        <v>8</v>
      </c>
      <c r="J18" s="6">
        <v>8</v>
      </c>
      <c r="K18" s="6">
        <v>8</v>
      </c>
      <c r="L18" s="6">
        <v>8</v>
      </c>
      <c r="M18"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6"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285</v>
      </c>
      <c r="M2" s="859" t="s">
        <v>286</v>
      </c>
      <c r="R2" s="859" t="s">
        <v>287</v>
      </c>
      <c r="S2" s="859" t="s">
        <v>286</v>
      </c>
      <c r="X2" s="859" t="s">
        <v>285</v>
      </c>
      <c r="Y2" s="859" t="s">
        <v>286</v>
      </c>
      <c r="AD2" s="859" t="s">
        <v>285</v>
      </c>
      <c r="AE2" s="859" t="s">
        <v>286</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23" t="s">
        <v>288</v>
      </c>
      <c r="E4" s="1223"/>
      <c r="F4" s="1223"/>
      <c r="G4" s="1223"/>
      <c r="H4" s="1223"/>
      <c r="I4" s="1223"/>
      <c r="J4" s="1223"/>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46" t="str">
        <f>IF(org=0,"Не определено",org)</f>
        <v>Сургутское городское муниципальное унитарное предприятие "Горводоканал"</v>
      </c>
      <c r="E5" s="1246"/>
      <c r="F5" s="1246"/>
      <c r="G5" s="1246"/>
      <c r="H5" s="1246"/>
      <c r="I5" s="1246"/>
      <c r="J5" s="1246"/>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59" t="s">
        <v>88</v>
      </c>
      <c r="E8" s="1159" t="s">
        <v>105</v>
      </c>
      <c r="F8" s="1225" t="s">
        <v>130</v>
      </c>
      <c r="G8" s="1226"/>
      <c r="H8" s="1225" t="s">
        <v>88</v>
      </c>
      <c r="I8" s="1226"/>
      <c r="J8" s="1159" t="s">
        <v>131</v>
      </c>
      <c r="K8" s="862"/>
      <c r="L8" s="1224" t="s">
        <v>289</v>
      </c>
      <c r="M8" s="1224"/>
      <c r="N8" s="1224"/>
      <c r="O8" s="1224"/>
      <c r="P8" s="1224"/>
      <c r="Q8" s="863"/>
      <c r="R8" s="1123" t="s">
        <v>290</v>
      </c>
      <c r="S8" s="1146"/>
      <c r="T8" s="1146"/>
      <c r="U8" s="1146"/>
      <c r="V8" s="1146"/>
      <c r="W8" s="863"/>
      <c r="X8" s="1159" t="s">
        <v>291</v>
      </c>
      <c r="Y8" s="1159"/>
      <c r="Z8" s="1159"/>
      <c r="AA8" s="1159"/>
      <c r="AB8" s="1159"/>
      <c r="AC8" s="340"/>
      <c r="AD8" s="1159" t="s">
        <v>292</v>
      </c>
      <c r="AE8" s="1159"/>
      <c r="AF8" s="1159"/>
      <c r="AG8" s="1159"/>
      <c r="AH8" s="1123"/>
      <c r="AI8" s="1159" t="s">
        <v>293</v>
      </c>
      <c r="BM8">
        <v>32</v>
      </c>
    </row>
    <row r="9" spans="1:65" ht="23.25" customHeight="1">
      <c r="D9" s="1159"/>
      <c r="E9" s="1159"/>
      <c r="F9" s="1224" t="s">
        <v>89</v>
      </c>
      <c r="G9" s="1224" t="s">
        <v>136</v>
      </c>
      <c r="H9" s="1227"/>
      <c r="I9" s="1228"/>
      <c r="J9" s="1123"/>
      <c r="K9" s="864"/>
      <c r="L9" s="1159" t="s">
        <v>294</v>
      </c>
      <c r="M9" s="1123"/>
      <c r="N9" s="1225" t="s">
        <v>88</v>
      </c>
      <c r="O9" s="1226"/>
      <c r="P9" s="1159" t="s">
        <v>137</v>
      </c>
      <c r="Q9" s="862"/>
      <c r="R9" s="1159" t="s">
        <v>294</v>
      </c>
      <c r="S9" s="1123"/>
      <c r="T9" s="1225" t="s">
        <v>88</v>
      </c>
      <c r="U9" s="1226"/>
      <c r="V9" s="1159" t="s">
        <v>137</v>
      </c>
      <c r="W9" s="862"/>
      <c r="X9" s="1159" t="s">
        <v>294</v>
      </c>
      <c r="Y9" s="1123"/>
      <c r="Z9" s="1225" t="s">
        <v>88</v>
      </c>
      <c r="AA9" s="1226"/>
      <c r="AB9" s="1159" t="s">
        <v>295</v>
      </c>
      <c r="AC9" s="862"/>
      <c r="AD9" s="1159" t="s">
        <v>294</v>
      </c>
      <c r="AE9" s="1123"/>
      <c r="AF9" s="1225" t="s">
        <v>88</v>
      </c>
      <c r="AG9" s="1226"/>
      <c r="AH9" s="1123" t="s">
        <v>295</v>
      </c>
      <c r="AI9" s="1159"/>
      <c r="BM9">
        <v>22</v>
      </c>
    </row>
    <row r="10" spans="1:65" ht="24" customHeight="1">
      <c r="D10" s="1224"/>
      <c r="E10" s="1224"/>
      <c r="F10" s="1229"/>
      <c r="G10" s="1229"/>
      <c r="H10" s="1230"/>
      <c r="I10" s="1231"/>
      <c r="J10" s="1225"/>
      <c r="K10" s="864"/>
      <c r="L10" s="340" t="s">
        <v>296</v>
      </c>
      <c r="M10" s="863" t="s">
        <v>297</v>
      </c>
      <c r="N10" s="1227"/>
      <c r="O10" s="1228"/>
      <c r="P10" s="1224"/>
      <c r="Q10" s="862"/>
      <c r="R10" s="340" t="s">
        <v>296</v>
      </c>
      <c r="S10" s="863" t="s">
        <v>297</v>
      </c>
      <c r="T10" s="1227"/>
      <c r="U10" s="1228"/>
      <c r="V10" s="1224"/>
      <c r="W10" s="862"/>
      <c r="X10" s="340" t="s">
        <v>296</v>
      </c>
      <c r="Y10" s="863" t="s">
        <v>297</v>
      </c>
      <c r="Z10" s="1227"/>
      <c r="AA10" s="1228"/>
      <c r="AB10" s="1224"/>
      <c r="AC10" s="862"/>
      <c r="AD10" s="340" t="s">
        <v>296</v>
      </c>
      <c r="AE10" s="863" t="s">
        <v>297</v>
      </c>
      <c r="AF10" s="1227"/>
      <c r="AG10" s="1228"/>
      <c r="AH10" s="1225"/>
      <c r="AI10" s="1224"/>
      <c r="AK10" s="34" t="s">
        <v>298</v>
      </c>
      <c r="AL10" s="34" t="s">
        <v>138</v>
      </c>
      <c r="BM10">
        <v>23</v>
      </c>
    </row>
    <row r="11" spans="1:65" ht="15" customHeight="1">
      <c r="D11" s="1232" t="s">
        <v>109</v>
      </c>
      <c r="E11" s="1234" t="s">
        <v>299</v>
      </c>
      <c r="F11" s="1234" t="s">
        <v>300</v>
      </c>
      <c r="G11" s="1237" t="s">
        <v>19</v>
      </c>
      <c r="H11" s="885"/>
      <c r="I11" s="1239"/>
      <c r="J11" s="1193"/>
      <c r="K11" s="833"/>
      <c r="L11" s="1185"/>
      <c r="M11" s="1185"/>
      <c r="N11" s="879"/>
      <c r="O11" s="1185"/>
      <c r="P11" s="1193"/>
      <c r="Q11" s="833"/>
      <c r="R11" s="1185"/>
      <c r="S11" s="1185"/>
      <c r="T11" s="880"/>
      <c r="U11" s="1185"/>
      <c r="V11" s="1193"/>
      <c r="W11" s="804"/>
      <c r="X11" s="1185"/>
      <c r="Y11" s="1185"/>
      <c r="Z11" s="879"/>
      <c r="AA11" s="1185"/>
      <c r="AB11" s="1193"/>
      <c r="AC11" s="881"/>
      <c r="AD11" s="1185"/>
      <c r="AE11" s="1185"/>
      <c r="AF11" s="804"/>
      <c r="AG11" s="804"/>
      <c r="AH11" s="879"/>
      <c r="AI11" s="746"/>
      <c r="BM11">
        <v>14</v>
      </c>
    </row>
    <row r="12" spans="1:65" ht="14.65" customHeight="1">
      <c r="D12" s="1232"/>
      <c r="E12" s="1234"/>
      <c r="F12" s="1234"/>
      <c r="G12" s="1238"/>
      <c r="H12" s="886"/>
      <c r="I12" s="1240"/>
      <c r="J12" s="1194"/>
      <c r="K12" s="342"/>
      <c r="L12" s="1186"/>
      <c r="M12" s="1186"/>
      <c r="N12" s="33"/>
      <c r="O12" s="1186"/>
      <c r="P12" s="1194"/>
      <c r="Q12" s="383"/>
      <c r="R12" s="1186"/>
      <c r="S12" s="1186"/>
      <c r="T12" s="882"/>
      <c r="U12" s="1186"/>
      <c r="V12" s="1194"/>
      <c r="W12" s="55"/>
      <c r="X12" s="1186"/>
      <c r="Y12" s="1186"/>
      <c r="Z12" s="33"/>
      <c r="AA12" s="1186"/>
      <c r="AB12" s="1194"/>
      <c r="AC12" s="342"/>
      <c r="AD12" s="1186"/>
      <c r="AE12" s="1186"/>
      <c r="AF12" s="747"/>
      <c r="AG12" s="747"/>
      <c r="AH12" s="1243"/>
      <c r="AI12" s="1244"/>
      <c r="BM12">
        <v>14</v>
      </c>
    </row>
    <row r="13" spans="1:65" ht="14.65" customHeight="1">
      <c r="D13" s="1232"/>
      <c r="E13" s="1234"/>
      <c r="F13" s="1234"/>
      <c r="G13" s="1238"/>
      <c r="H13" s="886"/>
      <c r="I13" s="1240"/>
      <c r="J13" s="1194"/>
      <c r="K13" s="342"/>
      <c r="L13" s="1186"/>
      <c r="M13" s="1186"/>
      <c r="N13" s="33"/>
      <c r="O13" s="1186"/>
      <c r="P13" s="1194"/>
      <c r="Q13" s="383"/>
      <c r="R13" s="1186"/>
      <c r="S13" s="1186"/>
      <c r="T13" s="882"/>
      <c r="U13" s="1186"/>
      <c r="V13" s="1194"/>
      <c r="W13" s="55"/>
      <c r="X13" s="1186"/>
      <c r="Y13" s="1186"/>
      <c r="Z13" s="55"/>
      <c r="AA13" s="747"/>
      <c r="AB13" s="1243"/>
      <c r="AC13" s="1243"/>
      <c r="AD13" s="1243"/>
      <c r="AE13" s="1243"/>
      <c r="AF13" s="1243"/>
      <c r="AG13" s="1243"/>
      <c r="AH13" s="1243"/>
      <c r="AI13" s="1244"/>
      <c r="BM13">
        <v>14</v>
      </c>
    </row>
    <row r="14" spans="1:65" ht="14.65" customHeight="1">
      <c r="D14" s="1232"/>
      <c r="E14" s="1234"/>
      <c r="F14" s="1234"/>
      <c r="G14" s="1238"/>
      <c r="H14" s="886"/>
      <c r="I14" s="1240"/>
      <c r="J14" s="1194"/>
      <c r="K14" s="342"/>
      <c r="L14" s="1186"/>
      <c r="M14" s="1186"/>
      <c r="N14" s="33"/>
      <c r="O14" s="1186"/>
      <c r="P14" s="1194"/>
      <c r="Q14" s="383"/>
      <c r="R14" s="1186"/>
      <c r="S14" s="1186"/>
      <c r="T14" s="50"/>
      <c r="U14" s="883"/>
      <c r="V14" s="1243"/>
      <c r="W14" s="1243"/>
      <c r="X14" s="1243"/>
      <c r="Y14" s="1243"/>
      <c r="Z14" s="1243"/>
      <c r="AA14" s="1243"/>
      <c r="AB14" s="1243"/>
      <c r="AC14" s="1243"/>
      <c r="AD14" s="1243"/>
      <c r="AE14" s="1243"/>
      <c r="AF14" s="1243"/>
      <c r="AG14" s="1243"/>
      <c r="AH14" s="1243"/>
      <c r="AI14" s="1244"/>
      <c r="BM14">
        <v>14</v>
      </c>
    </row>
    <row r="15" spans="1:65" ht="11.45" customHeight="1">
      <c r="D15" s="1232"/>
      <c r="E15" s="1234"/>
      <c r="F15" s="1234"/>
      <c r="G15" s="1238"/>
      <c r="H15" s="887"/>
      <c r="I15" s="1240"/>
      <c r="J15" s="1194"/>
      <c r="K15" s="342"/>
      <c r="L15" s="1186"/>
      <c r="M15" s="1186"/>
      <c r="N15" s="747"/>
      <c r="O15" s="747"/>
      <c r="P15" s="1243"/>
      <c r="Q15" s="1243"/>
      <c r="R15" s="1243"/>
      <c r="S15" s="1243"/>
      <c r="T15" s="1243"/>
      <c r="U15" s="1243"/>
      <c r="V15" s="1243"/>
      <c r="W15" s="1243"/>
      <c r="X15" s="1243"/>
      <c r="Y15" s="1243"/>
      <c r="Z15" s="1243"/>
      <c r="AA15" s="1243"/>
      <c r="AB15" s="1243"/>
      <c r="AC15" s="1243"/>
      <c r="AD15" s="1243"/>
      <c r="AE15" s="1243"/>
      <c r="AF15" s="1243"/>
      <c r="AG15" s="1243"/>
      <c r="AH15" s="1243"/>
      <c r="AI15" s="1244"/>
      <c r="BM15">
        <v>11</v>
      </c>
    </row>
    <row r="16" spans="1:65" s="860" customFormat="1" ht="11.45" customHeight="1">
      <c r="D16" s="1233"/>
      <c r="E16" s="1235"/>
      <c r="F16" s="1236"/>
      <c r="G16" s="1174"/>
      <c r="H16" s="884"/>
      <c r="I16" s="888"/>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1241"/>
      <c r="AF16" s="1241"/>
      <c r="AG16" s="1241"/>
      <c r="AH16" s="1241"/>
      <c r="AI16" s="1242"/>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32" t="s">
        <v>110</v>
      </c>
      <c r="E17" s="1234" t="s">
        <v>299</v>
      </c>
      <c r="F17" s="1234" t="s">
        <v>301</v>
      </c>
      <c r="G17" s="1237" t="s">
        <v>19</v>
      </c>
      <c r="H17" s="885"/>
      <c r="I17" s="1239"/>
      <c r="J17" s="1193"/>
      <c r="K17" s="833"/>
      <c r="L17" s="1185"/>
      <c r="M17" s="1185"/>
      <c r="N17" s="879"/>
      <c r="O17" s="1185"/>
      <c r="P17" s="1193"/>
      <c r="Q17" s="833"/>
      <c r="R17" s="1185"/>
      <c r="S17" s="1185"/>
      <c r="T17" s="880"/>
      <c r="U17" s="1185"/>
      <c r="V17" s="1193"/>
      <c r="W17" s="804"/>
      <c r="X17" s="1185"/>
      <c r="Y17" s="1185"/>
      <c r="Z17" s="879"/>
      <c r="AA17" s="1185"/>
      <c r="AB17" s="1193"/>
      <c r="AC17" s="881"/>
      <c r="AD17" s="1185"/>
      <c r="AE17" s="1185"/>
      <c r="AF17" s="804"/>
      <c r="AG17" s="804"/>
      <c r="AH17" s="879"/>
      <c r="AI17" s="746"/>
      <c r="BM17">
        <v>14</v>
      </c>
    </row>
    <row r="18" spans="4:65" ht="14.65" customHeight="1">
      <c r="D18" s="1232"/>
      <c r="E18" s="1234"/>
      <c r="F18" s="1234"/>
      <c r="G18" s="1238"/>
      <c r="H18" s="886"/>
      <c r="I18" s="1240"/>
      <c r="J18" s="1194"/>
      <c r="K18" s="342"/>
      <c r="L18" s="1186"/>
      <c r="M18" s="1186"/>
      <c r="N18" s="33"/>
      <c r="O18" s="1186"/>
      <c r="P18" s="1194"/>
      <c r="Q18" s="383"/>
      <c r="R18" s="1186"/>
      <c r="S18" s="1186"/>
      <c r="T18" s="882"/>
      <c r="U18" s="1186"/>
      <c r="V18" s="1194"/>
      <c r="W18" s="55"/>
      <c r="X18" s="1186"/>
      <c r="Y18" s="1186"/>
      <c r="Z18" s="33"/>
      <c r="AA18" s="1186"/>
      <c r="AB18" s="1194"/>
      <c r="AC18" s="342"/>
      <c r="AD18" s="1186"/>
      <c r="AE18" s="1186"/>
      <c r="AF18" s="747"/>
      <c r="AG18" s="747"/>
      <c r="AH18" s="1243"/>
      <c r="AI18" s="1244"/>
      <c r="BM18">
        <v>14</v>
      </c>
    </row>
    <row r="19" spans="4:65" ht="14.65" customHeight="1">
      <c r="D19" s="1232"/>
      <c r="E19" s="1234"/>
      <c r="F19" s="1234"/>
      <c r="G19" s="1238"/>
      <c r="H19" s="886"/>
      <c r="I19" s="1240"/>
      <c r="J19" s="1194"/>
      <c r="K19" s="342"/>
      <c r="L19" s="1186"/>
      <c r="M19" s="1186"/>
      <c r="N19" s="33"/>
      <c r="O19" s="1186"/>
      <c r="P19" s="1194"/>
      <c r="Q19" s="383"/>
      <c r="R19" s="1186"/>
      <c r="S19" s="1186"/>
      <c r="T19" s="882"/>
      <c r="U19" s="1186"/>
      <c r="V19" s="1194"/>
      <c r="W19" s="55"/>
      <c r="X19" s="1186"/>
      <c r="Y19" s="1186"/>
      <c r="Z19" s="55"/>
      <c r="AA19" s="747"/>
      <c r="AB19" s="1243"/>
      <c r="AC19" s="1243"/>
      <c r="AD19" s="1243"/>
      <c r="AE19" s="1243"/>
      <c r="AF19" s="1243"/>
      <c r="AG19" s="1243"/>
      <c r="AH19" s="1243"/>
      <c r="AI19" s="1244"/>
      <c r="BM19">
        <v>14</v>
      </c>
    </row>
    <row r="20" spans="4:65" ht="14.65" customHeight="1">
      <c r="D20" s="1232"/>
      <c r="E20" s="1234"/>
      <c r="F20" s="1234"/>
      <c r="G20" s="1238"/>
      <c r="H20" s="886"/>
      <c r="I20" s="1240"/>
      <c r="J20" s="1194"/>
      <c r="K20" s="342"/>
      <c r="L20" s="1186"/>
      <c r="M20" s="1186"/>
      <c r="N20" s="33"/>
      <c r="O20" s="1186"/>
      <c r="P20" s="1194"/>
      <c r="Q20" s="383"/>
      <c r="R20" s="1186"/>
      <c r="S20" s="1186"/>
      <c r="T20" s="50"/>
      <c r="U20" s="883"/>
      <c r="V20" s="1243"/>
      <c r="W20" s="1243"/>
      <c r="X20" s="1243"/>
      <c r="Y20" s="1243"/>
      <c r="Z20" s="1243"/>
      <c r="AA20" s="1243"/>
      <c r="AB20" s="1243"/>
      <c r="AC20" s="1243"/>
      <c r="AD20" s="1243"/>
      <c r="AE20" s="1243"/>
      <c r="AF20" s="1243"/>
      <c r="AG20" s="1243"/>
      <c r="AH20" s="1243"/>
      <c r="AI20" s="1244"/>
      <c r="BM20">
        <v>14</v>
      </c>
    </row>
    <row r="21" spans="4:65" ht="11.45" customHeight="1">
      <c r="D21" s="1232"/>
      <c r="E21" s="1234"/>
      <c r="F21" s="1234"/>
      <c r="G21" s="1238"/>
      <c r="H21" s="887"/>
      <c r="I21" s="1240"/>
      <c r="J21" s="1194"/>
      <c r="K21" s="342"/>
      <c r="L21" s="1186"/>
      <c r="M21" s="1186"/>
      <c r="N21" s="747"/>
      <c r="O21" s="747"/>
      <c r="P21" s="1243"/>
      <c r="Q21" s="1243"/>
      <c r="R21" s="1243"/>
      <c r="S21" s="1243"/>
      <c r="T21" s="1243"/>
      <c r="U21" s="1243"/>
      <c r="V21" s="1243"/>
      <c r="W21" s="1243"/>
      <c r="X21" s="1243"/>
      <c r="Y21" s="1243"/>
      <c r="Z21" s="1243"/>
      <c r="AA21" s="1243"/>
      <c r="AB21" s="1243"/>
      <c r="AC21" s="1243"/>
      <c r="AD21" s="1243"/>
      <c r="AE21" s="1243"/>
      <c r="AF21" s="1243"/>
      <c r="AG21" s="1243"/>
      <c r="AH21" s="1243"/>
      <c r="AI21" s="1244"/>
      <c r="BM21">
        <v>11</v>
      </c>
    </row>
    <row r="22" spans="4:65" s="860" customFormat="1" ht="11.45" customHeight="1">
      <c r="D22" s="1233"/>
      <c r="E22" s="1235"/>
      <c r="F22" s="1236"/>
      <c r="G22" s="1174"/>
      <c r="H22" s="884"/>
      <c r="I22" s="888"/>
      <c r="J22" s="1241"/>
      <c r="K22" s="1241"/>
      <c r="L22" s="1241"/>
      <c r="M22" s="1241"/>
      <c r="N22" s="1241"/>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2"/>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32" t="s">
        <v>90</v>
      </c>
      <c r="E23" s="1234" t="s">
        <v>299</v>
      </c>
      <c r="F23" s="1234" t="s">
        <v>302</v>
      </c>
      <c r="G23" s="1237" t="s">
        <v>19</v>
      </c>
      <c r="H23" s="885"/>
      <c r="I23" s="1239"/>
      <c r="J23" s="1193"/>
      <c r="K23" s="833"/>
      <c r="L23" s="1185"/>
      <c r="M23" s="1185"/>
      <c r="N23" s="879"/>
      <c r="O23" s="1185"/>
      <c r="P23" s="1193"/>
      <c r="Q23" s="833"/>
      <c r="R23" s="1185"/>
      <c r="S23" s="1185"/>
      <c r="T23" s="880"/>
      <c r="U23" s="1185"/>
      <c r="V23" s="1193"/>
      <c r="W23" s="804"/>
      <c r="X23" s="1185"/>
      <c r="Y23" s="1185"/>
      <c r="Z23" s="879"/>
      <c r="AA23" s="1185"/>
      <c r="AB23" s="1193"/>
      <c r="AC23" s="881"/>
      <c r="AD23" s="1185"/>
      <c r="AE23" s="1185"/>
      <c r="AF23" s="804"/>
      <c r="AG23" s="804"/>
      <c r="AH23" s="879"/>
      <c r="AI23" s="746"/>
      <c r="AK23" s="46" t="s">
        <v>98</v>
      </c>
      <c r="BM23">
        <v>14</v>
      </c>
    </row>
    <row r="24" spans="4:65" ht="14.65" customHeight="1">
      <c r="D24" s="1232"/>
      <c r="E24" s="1234"/>
      <c r="F24" s="1234"/>
      <c r="G24" s="1238"/>
      <c r="H24" s="886"/>
      <c r="I24" s="1240"/>
      <c r="J24" s="1194"/>
      <c r="K24" s="342"/>
      <c r="L24" s="1186"/>
      <c r="M24" s="1186"/>
      <c r="N24" s="33"/>
      <c r="O24" s="1186"/>
      <c r="P24" s="1194"/>
      <c r="Q24" s="383"/>
      <c r="R24" s="1186"/>
      <c r="S24" s="1186"/>
      <c r="T24" s="882"/>
      <c r="U24" s="1186"/>
      <c r="V24" s="1194"/>
      <c r="W24" s="55"/>
      <c r="X24" s="1186"/>
      <c r="Y24" s="1186"/>
      <c r="Z24" s="33"/>
      <c r="AA24" s="1186"/>
      <c r="AB24" s="1194"/>
      <c r="AC24" s="342"/>
      <c r="AD24" s="1186"/>
      <c r="AE24" s="1186"/>
      <c r="AF24" s="747"/>
      <c r="AG24" s="747"/>
      <c r="AH24" s="1243"/>
      <c r="AI24" s="1244"/>
      <c r="BM24">
        <v>14</v>
      </c>
    </row>
    <row r="25" spans="4:65" ht="14.65" customHeight="1">
      <c r="D25" s="1232"/>
      <c r="E25" s="1234"/>
      <c r="F25" s="1234"/>
      <c r="G25" s="1238"/>
      <c r="H25" s="886"/>
      <c r="I25" s="1240"/>
      <c r="J25" s="1194"/>
      <c r="K25" s="342"/>
      <c r="L25" s="1186"/>
      <c r="M25" s="1186"/>
      <c r="N25" s="33"/>
      <c r="O25" s="1186"/>
      <c r="P25" s="1194"/>
      <c r="Q25" s="383"/>
      <c r="R25" s="1186"/>
      <c r="S25" s="1186"/>
      <c r="T25" s="882"/>
      <c r="U25" s="1186"/>
      <c r="V25" s="1194"/>
      <c r="W25" s="55"/>
      <c r="X25" s="1186"/>
      <c r="Y25" s="1186"/>
      <c r="Z25" s="55"/>
      <c r="AA25" s="747"/>
      <c r="AB25" s="1243"/>
      <c r="AC25" s="1243"/>
      <c r="AD25" s="1243"/>
      <c r="AE25" s="1243"/>
      <c r="AF25" s="1243"/>
      <c r="AG25" s="1243"/>
      <c r="AH25" s="1243"/>
      <c r="AI25" s="1244"/>
      <c r="BM25">
        <v>14</v>
      </c>
    </row>
    <row r="26" spans="4:65" ht="14.65" customHeight="1">
      <c r="D26" s="1232"/>
      <c r="E26" s="1234"/>
      <c r="F26" s="1234"/>
      <c r="G26" s="1238"/>
      <c r="H26" s="886"/>
      <c r="I26" s="1240"/>
      <c r="J26" s="1194"/>
      <c r="K26" s="342"/>
      <c r="L26" s="1186"/>
      <c r="M26" s="1186"/>
      <c r="N26" s="33"/>
      <c r="O26" s="1186"/>
      <c r="P26" s="1194"/>
      <c r="Q26" s="383"/>
      <c r="R26" s="1186"/>
      <c r="S26" s="1186"/>
      <c r="T26" s="50"/>
      <c r="U26" s="883"/>
      <c r="V26" s="1243"/>
      <c r="W26" s="1243"/>
      <c r="X26" s="1243"/>
      <c r="Y26" s="1243"/>
      <c r="Z26" s="1243"/>
      <c r="AA26" s="1243"/>
      <c r="AB26" s="1243"/>
      <c r="AC26" s="1243"/>
      <c r="AD26" s="1243"/>
      <c r="AE26" s="1243"/>
      <c r="AF26" s="1243"/>
      <c r="AG26" s="1243"/>
      <c r="AH26" s="1243"/>
      <c r="AI26" s="1244"/>
      <c r="BM26">
        <v>14</v>
      </c>
    </row>
    <row r="27" spans="4:65" ht="11.45" customHeight="1">
      <c r="D27" s="1232"/>
      <c r="E27" s="1234"/>
      <c r="F27" s="1234"/>
      <c r="G27" s="1238"/>
      <c r="H27" s="887"/>
      <c r="I27" s="1240"/>
      <c r="J27" s="1194"/>
      <c r="K27" s="342"/>
      <c r="L27" s="1186"/>
      <c r="M27" s="1186"/>
      <c r="N27" s="747"/>
      <c r="O27" s="747"/>
      <c r="P27" s="1243"/>
      <c r="Q27" s="1243"/>
      <c r="R27" s="1243"/>
      <c r="S27" s="1243"/>
      <c r="T27" s="1243"/>
      <c r="U27" s="1243"/>
      <c r="V27" s="1243"/>
      <c r="W27" s="1243"/>
      <c r="X27" s="1243"/>
      <c r="Y27" s="1243"/>
      <c r="Z27" s="1243"/>
      <c r="AA27" s="1243"/>
      <c r="AB27" s="1243"/>
      <c r="AC27" s="1243"/>
      <c r="AD27" s="1243"/>
      <c r="AE27" s="1243"/>
      <c r="AF27" s="1243"/>
      <c r="AG27" s="1243"/>
      <c r="AH27" s="1243"/>
      <c r="AI27" s="1244"/>
      <c r="BM27">
        <v>11</v>
      </c>
    </row>
    <row r="28" spans="4:65" s="860" customFormat="1" ht="11.45" customHeight="1">
      <c r="D28" s="1233"/>
      <c r="E28" s="1235"/>
      <c r="F28" s="1236"/>
      <c r="G28" s="1174"/>
      <c r="H28" s="884"/>
      <c r="I28" s="888"/>
      <c r="J28" s="1241"/>
      <c r="K28" s="1241"/>
      <c r="L28" s="1241"/>
      <c r="M28" s="1241"/>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2"/>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32" t="s">
        <v>91</v>
      </c>
      <c r="E29" s="1234" t="s">
        <v>299</v>
      </c>
      <c r="F29" s="1234" t="s">
        <v>303</v>
      </c>
      <c r="G29" s="1237" t="s">
        <v>19</v>
      </c>
      <c r="H29" s="885"/>
      <c r="I29" s="1239"/>
      <c r="J29" s="1193"/>
      <c r="K29" s="833"/>
      <c r="L29" s="1185"/>
      <c r="M29" s="1185"/>
      <c r="N29" s="879"/>
      <c r="O29" s="1185"/>
      <c r="P29" s="1193"/>
      <c r="Q29" s="833"/>
      <c r="R29" s="1185"/>
      <c r="S29" s="1185"/>
      <c r="T29" s="880"/>
      <c r="U29" s="1185"/>
      <c r="V29" s="1193"/>
      <c r="W29" s="804"/>
      <c r="X29" s="1185"/>
      <c r="Y29" s="1185"/>
      <c r="Z29" s="879"/>
      <c r="AA29" s="1185"/>
      <c r="AB29" s="1193"/>
      <c r="AC29" s="881"/>
      <c r="AD29" s="1185"/>
      <c r="AE29" s="1185"/>
      <c r="AF29" s="804"/>
      <c r="AG29" s="804"/>
      <c r="AH29" s="879"/>
      <c r="AI29" s="746"/>
      <c r="BM29">
        <v>14</v>
      </c>
    </row>
    <row r="30" spans="4:65" ht="14.65" customHeight="1">
      <c r="D30" s="1232"/>
      <c r="E30" s="1234"/>
      <c r="F30" s="1234"/>
      <c r="G30" s="1238"/>
      <c r="H30" s="886"/>
      <c r="I30" s="1240"/>
      <c r="J30" s="1194"/>
      <c r="K30" s="342"/>
      <c r="L30" s="1186"/>
      <c r="M30" s="1186"/>
      <c r="N30" s="33"/>
      <c r="O30" s="1186"/>
      <c r="P30" s="1194"/>
      <c r="Q30" s="383"/>
      <c r="R30" s="1186"/>
      <c r="S30" s="1186"/>
      <c r="T30" s="882"/>
      <c r="U30" s="1186"/>
      <c r="V30" s="1194"/>
      <c r="W30" s="55"/>
      <c r="X30" s="1186"/>
      <c r="Y30" s="1186"/>
      <c r="Z30" s="33"/>
      <c r="AA30" s="1186"/>
      <c r="AB30" s="1194"/>
      <c r="AC30" s="342"/>
      <c r="AD30" s="1186"/>
      <c r="AE30" s="1186"/>
      <c r="AF30" s="747"/>
      <c r="AG30" s="747"/>
      <c r="AH30" s="1243"/>
      <c r="AI30" s="1244"/>
      <c r="BM30">
        <v>14</v>
      </c>
    </row>
    <row r="31" spans="4:65" ht="14.65" customHeight="1">
      <c r="D31" s="1232"/>
      <c r="E31" s="1234"/>
      <c r="F31" s="1234"/>
      <c r="G31" s="1238"/>
      <c r="H31" s="886"/>
      <c r="I31" s="1240"/>
      <c r="J31" s="1194"/>
      <c r="K31" s="342"/>
      <c r="L31" s="1186"/>
      <c r="M31" s="1186"/>
      <c r="N31" s="33"/>
      <c r="O31" s="1186"/>
      <c r="P31" s="1194"/>
      <c r="Q31" s="383"/>
      <c r="R31" s="1186"/>
      <c r="S31" s="1186"/>
      <c r="T31" s="882"/>
      <c r="U31" s="1186"/>
      <c r="V31" s="1194"/>
      <c r="W31" s="55"/>
      <c r="X31" s="1186"/>
      <c r="Y31" s="1186"/>
      <c r="Z31" s="55"/>
      <c r="AA31" s="747"/>
      <c r="AB31" s="1243"/>
      <c r="AC31" s="1243"/>
      <c r="AD31" s="1243"/>
      <c r="AE31" s="1243"/>
      <c r="AF31" s="1243"/>
      <c r="AG31" s="1243"/>
      <c r="AH31" s="1243"/>
      <c r="AI31" s="1244"/>
      <c r="BM31">
        <v>14</v>
      </c>
    </row>
    <row r="32" spans="4:65" ht="14.65" customHeight="1">
      <c r="D32" s="1232"/>
      <c r="E32" s="1234"/>
      <c r="F32" s="1234"/>
      <c r="G32" s="1238"/>
      <c r="H32" s="886"/>
      <c r="I32" s="1240"/>
      <c r="J32" s="1194"/>
      <c r="K32" s="342"/>
      <c r="L32" s="1186"/>
      <c r="M32" s="1186"/>
      <c r="N32" s="33"/>
      <c r="O32" s="1186"/>
      <c r="P32" s="1194"/>
      <c r="Q32" s="383"/>
      <c r="R32" s="1186"/>
      <c r="S32" s="1186"/>
      <c r="T32" s="50"/>
      <c r="U32" s="883"/>
      <c r="V32" s="1243"/>
      <c r="W32" s="1243"/>
      <c r="X32" s="1243"/>
      <c r="Y32" s="1243"/>
      <c r="Z32" s="1243"/>
      <c r="AA32" s="1243"/>
      <c r="AB32" s="1243"/>
      <c r="AC32" s="1243"/>
      <c r="AD32" s="1243"/>
      <c r="AE32" s="1243"/>
      <c r="AF32" s="1243"/>
      <c r="AG32" s="1243"/>
      <c r="AH32" s="1243"/>
      <c r="AI32" s="1244"/>
      <c r="BM32">
        <v>14</v>
      </c>
    </row>
    <row r="33" spans="4:65" ht="11.45" customHeight="1">
      <c r="D33" s="1232"/>
      <c r="E33" s="1234"/>
      <c r="F33" s="1234"/>
      <c r="G33" s="1238"/>
      <c r="H33" s="887"/>
      <c r="I33" s="1240"/>
      <c r="J33" s="1194"/>
      <c r="K33" s="342"/>
      <c r="L33" s="1186"/>
      <c r="M33" s="1186"/>
      <c r="N33" s="747"/>
      <c r="O33" s="747"/>
      <c r="P33" s="1243"/>
      <c r="Q33" s="1243"/>
      <c r="R33" s="1243"/>
      <c r="S33" s="1243"/>
      <c r="T33" s="1243"/>
      <c r="U33" s="1243"/>
      <c r="V33" s="1243"/>
      <c r="W33" s="1243"/>
      <c r="X33" s="1243"/>
      <c r="Y33" s="1243"/>
      <c r="Z33" s="1243"/>
      <c r="AA33" s="1243"/>
      <c r="AB33" s="1243"/>
      <c r="AC33" s="1243"/>
      <c r="AD33" s="1243"/>
      <c r="AE33" s="1243"/>
      <c r="AF33" s="1243"/>
      <c r="AG33" s="1243"/>
      <c r="AH33" s="1243"/>
      <c r="AI33" s="1244"/>
      <c r="BM33">
        <v>11</v>
      </c>
    </row>
    <row r="34" spans="4:65" s="860" customFormat="1" ht="11.45" customHeight="1">
      <c r="D34" s="1233"/>
      <c r="E34" s="1235"/>
      <c r="F34" s="1236"/>
      <c r="G34" s="1174"/>
      <c r="H34" s="884"/>
      <c r="I34" s="888"/>
      <c r="J34" s="1241"/>
      <c r="K34" s="1241"/>
      <c r="L34" s="1241"/>
      <c r="M34" s="1241"/>
      <c r="N34" s="1241"/>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2"/>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32" t="s">
        <v>111</v>
      </c>
      <c r="E35" s="1234" t="s">
        <v>299</v>
      </c>
      <c r="F35" s="1234" t="s">
        <v>304</v>
      </c>
      <c r="G35" s="1237" t="s">
        <v>19</v>
      </c>
      <c r="H35" s="885"/>
      <c r="I35" s="1239"/>
      <c r="J35" s="1193"/>
      <c r="K35" s="833"/>
      <c r="L35" s="1185"/>
      <c r="M35" s="1185"/>
      <c r="N35" s="879"/>
      <c r="O35" s="1185"/>
      <c r="P35" s="1193"/>
      <c r="Q35" s="833"/>
      <c r="R35" s="1185"/>
      <c r="S35" s="1185"/>
      <c r="T35" s="880"/>
      <c r="U35" s="1185"/>
      <c r="V35" s="1193"/>
      <c r="W35" s="804"/>
      <c r="X35" s="1185"/>
      <c r="Y35" s="1185"/>
      <c r="Z35" s="879"/>
      <c r="AA35" s="1185"/>
      <c r="AB35" s="1193"/>
      <c r="AC35" s="881"/>
      <c r="AD35" s="1185"/>
      <c r="AE35" s="1185"/>
      <c r="AF35" s="804"/>
      <c r="AG35" s="804"/>
      <c r="AH35" s="879"/>
      <c r="AI35" s="746"/>
      <c r="BM35">
        <v>14</v>
      </c>
    </row>
    <row r="36" spans="4:65" ht="14.65" customHeight="1">
      <c r="D36" s="1232"/>
      <c r="E36" s="1234"/>
      <c r="F36" s="1234"/>
      <c r="G36" s="1238"/>
      <c r="H36" s="886"/>
      <c r="I36" s="1240"/>
      <c r="J36" s="1194"/>
      <c r="K36" s="342"/>
      <c r="L36" s="1186"/>
      <c r="M36" s="1186"/>
      <c r="N36" s="33"/>
      <c r="O36" s="1186"/>
      <c r="P36" s="1194"/>
      <c r="Q36" s="383"/>
      <c r="R36" s="1186"/>
      <c r="S36" s="1186"/>
      <c r="T36" s="882"/>
      <c r="U36" s="1186"/>
      <c r="V36" s="1194"/>
      <c r="W36" s="55"/>
      <c r="X36" s="1186"/>
      <c r="Y36" s="1186"/>
      <c r="Z36" s="33"/>
      <c r="AA36" s="1186"/>
      <c r="AB36" s="1194"/>
      <c r="AC36" s="342"/>
      <c r="AD36" s="1186"/>
      <c r="AE36" s="1186"/>
      <c r="AF36" s="747"/>
      <c r="AG36" s="747"/>
      <c r="AH36" s="1243"/>
      <c r="AI36" s="1244"/>
      <c r="BM36">
        <v>14</v>
      </c>
    </row>
    <row r="37" spans="4:65" ht="14.65" customHeight="1">
      <c r="D37" s="1232"/>
      <c r="E37" s="1234"/>
      <c r="F37" s="1234"/>
      <c r="G37" s="1238"/>
      <c r="H37" s="886"/>
      <c r="I37" s="1240"/>
      <c r="J37" s="1194"/>
      <c r="K37" s="342"/>
      <c r="L37" s="1186"/>
      <c r="M37" s="1186"/>
      <c r="N37" s="33"/>
      <c r="O37" s="1186"/>
      <c r="P37" s="1194"/>
      <c r="Q37" s="383"/>
      <c r="R37" s="1186"/>
      <c r="S37" s="1186"/>
      <c r="T37" s="882"/>
      <c r="U37" s="1186"/>
      <c r="V37" s="1194"/>
      <c r="W37" s="55"/>
      <c r="X37" s="1186"/>
      <c r="Y37" s="1186"/>
      <c r="Z37" s="55"/>
      <c r="AA37" s="747"/>
      <c r="AB37" s="1243"/>
      <c r="AC37" s="1243"/>
      <c r="AD37" s="1243"/>
      <c r="AE37" s="1243"/>
      <c r="AF37" s="1243"/>
      <c r="AG37" s="1243"/>
      <c r="AH37" s="1243"/>
      <c r="AI37" s="1244"/>
      <c r="BM37">
        <v>14</v>
      </c>
    </row>
    <row r="38" spans="4:65" ht="14.65" customHeight="1">
      <c r="D38" s="1232"/>
      <c r="E38" s="1234"/>
      <c r="F38" s="1234"/>
      <c r="G38" s="1238"/>
      <c r="H38" s="886"/>
      <c r="I38" s="1240"/>
      <c r="J38" s="1194"/>
      <c r="K38" s="342"/>
      <c r="L38" s="1186"/>
      <c r="M38" s="1186"/>
      <c r="N38" s="33"/>
      <c r="O38" s="1186"/>
      <c r="P38" s="1194"/>
      <c r="Q38" s="383"/>
      <c r="R38" s="1186"/>
      <c r="S38" s="1186"/>
      <c r="T38" s="50"/>
      <c r="U38" s="883"/>
      <c r="V38" s="1243"/>
      <c r="W38" s="1243"/>
      <c r="X38" s="1243"/>
      <c r="Y38" s="1243"/>
      <c r="Z38" s="1243"/>
      <c r="AA38" s="1243"/>
      <c r="AB38" s="1243"/>
      <c r="AC38" s="1243"/>
      <c r="AD38" s="1243"/>
      <c r="AE38" s="1243"/>
      <c r="AF38" s="1243"/>
      <c r="AG38" s="1243"/>
      <c r="AH38" s="1243"/>
      <c r="AI38" s="1244"/>
      <c r="BM38">
        <v>14</v>
      </c>
    </row>
    <row r="39" spans="4:65" ht="11.45" customHeight="1">
      <c r="D39" s="1232"/>
      <c r="E39" s="1234"/>
      <c r="F39" s="1234"/>
      <c r="G39" s="1238"/>
      <c r="H39" s="887"/>
      <c r="I39" s="1240"/>
      <c r="J39" s="1194"/>
      <c r="K39" s="342"/>
      <c r="L39" s="1186"/>
      <c r="M39" s="1186"/>
      <c r="N39" s="747"/>
      <c r="O39" s="747"/>
      <c r="P39" s="1243"/>
      <c r="Q39" s="1243"/>
      <c r="R39" s="1243"/>
      <c r="S39" s="1243"/>
      <c r="T39" s="1243"/>
      <c r="U39" s="1243"/>
      <c r="V39" s="1243"/>
      <c r="W39" s="1243"/>
      <c r="X39" s="1243"/>
      <c r="Y39" s="1243"/>
      <c r="Z39" s="1243"/>
      <c r="AA39" s="1243"/>
      <c r="AB39" s="1243"/>
      <c r="AC39" s="1243"/>
      <c r="AD39" s="1243"/>
      <c r="AE39" s="1243"/>
      <c r="AF39" s="1243"/>
      <c r="AG39" s="1243"/>
      <c r="AH39" s="1243"/>
      <c r="AI39" s="1244"/>
      <c r="BM39">
        <v>11</v>
      </c>
    </row>
    <row r="40" spans="4:65" s="860" customFormat="1" ht="11.45" customHeight="1">
      <c r="D40" s="1232"/>
      <c r="E40" s="1234"/>
      <c r="F40" s="1245"/>
      <c r="G40" s="1174"/>
      <c r="H40" s="884"/>
      <c r="I40" s="888"/>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2"/>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551" t="s">
        <v>2036</v>
      </c>
      <c r="C2" s="1551"/>
      <c r="D2" s="1551"/>
      <c r="E2" s="158"/>
      <c r="F2">
        <v>22</v>
      </c>
    </row>
    <row r="3" spans="1:6" ht="3" customHeight="1">
      <c r="F3">
        <v>3</v>
      </c>
    </row>
    <row r="4" spans="1:6" ht="23.25" customHeight="1">
      <c r="B4" s="218" t="s">
        <v>2037</v>
      </c>
      <c r="C4" s="218" t="s">
        <v>2038</v>
      </c>
      <c r="D4" s="218" t="s">
        <v>2039</v>
      </c>
      <c r="F4">
        <v>22</v>
      </c>
    </row>
    <row r="5" spans="1:6" ht="11.25" hidden="1" customHeight="1">
      <c r="A5" t="s">
        <v>82</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2040</v>
      </c>
    </row>
    <row r="4" spans="1:80" s="6" customFormat="1" ht="15" customHeight="1">
      <c r="C4" s="23"/>
      <c r="D4" s="44"/>
      <c r="E4" s="217"/>
    </row>
    <row r="6" spans="1:80" s="983" customFormat="1" ht="17.25" customHeight="1">
      <c r="A6" s="983" t="s">
        <v>2041</v>
      </c>
    </row>
    <row r="8" spans="1:80" s="6" customFormat="1" ht="17.25" customHeight="1">
      <c r="C8" s="984"/>
      <c r="D8" s="44"/>
      <c r="E8" s="37"/>
    </row>
    <row r="11" spans="1:80" s="983" customFormat="1" ht="17.25" customHeight="1">
      <c r="A11" s="983" t="s">
        <v>2042</v>
      </c>
    </row>
    <row r="13" spans="1:80" s="45" customFormat="1" ht="15" customHeight="1">
      <c r="A13" s="1271">
        <v>1</v>
      </c>
      <c r="B13" s="63"/>
      <c r="C13" s="462" t="s">
        <v>122</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71"/>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71"/>
      <c r="B15" s="63"/>
      <c r="C15" s="235"/>
      <c r="D15" s="462"/>
      <c r="E15" s="237"/>
      <c r="F15" s="88"/>
      <c r="G15" s="110" t="s">
        <v>102</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3" customFormat="1" ht="17.25" customHeight="1">
      <c r="A17" s="983" t="s">
        <v>2043</v>
      </c>
    </row>
    <row r="19" spans="1:80" ht="15" customHeight="1">
      <c r="A19" s="301"/>
      <c r="B19" s="63">
        <v>1</v>
      </c>
      <c r="C19" s="63"/>
      <c r="D19" s="461" t="s">
        <v>122</v>
      </c>
      <c r="E19" s="41"/>
      <c r="F19" s="1012">
        <f>$F$20</f>
        <v>0</v>
      </c>
      <c r="G19" s="1015"/>
      <c r="H19" s="1015"/>
      <c r="I19" s="1013"/>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3" t="s">
        <v>2044</v>
      </c>
      <c r="B21" s="983"/>
      <c r="C21" s="983"/>
      <c r="D21" s="983"/>
      <c r="E21" s="983"/>
      <c r="F21" s="983"/>
      <c r="G21" s="983"/>
      <c r="H21" s="983"/>
      <c r="I21" s="983"/>
      <c r="J21" s="983"/>
      <c r="K21" s="983"/>
      <c r="L21" s="983"/>
      <c r="M21" s="983"/>
      <c r="N21" s="983"/>
      <c r="O21" s="983"/>
      <c r="P21" s="983"/>
      <c r="Q21" s="983"/>
      <c r="R21" s="983"/>
      <c r="S21" s="983"/>
      <c r="T21" s="983"/>
      <c r="U21" s="95"/>
      <c r="V21" s="983"/>
      <c r="W21" s="983"/>
    </row>
    <row r="22" spans="1:80" ht="15" customHeight="1">
      <c r="U22" s="96"/>
    </row>
    <row r="23" spans="1:80" s="35" customFormat="1" ht="15" customHeight="1">
      <c r="A23"/>
      <c r="B23"/>
      <c r="C23" s="937" t="s">
        <v>122</v>
      </c>
      <c r="D23" s="1170" t="s">
        <v>109</v>
      </c>
      <c r="E23" s="1171"/>
      <c r="F23" s="1169" t="s">
        <v>19</v>
      </c>
      <c r="G23" s="1177"/>
      <c r="H23" s="1159">
        <v>1</v>
      </c>
      <c r="I23" s="1179" t="str">
        <f>IF(U23="","",INDEX(TERRITORY_MR_LIST,MATCH(U23,TERRITORY_LIST_ID,0)))</f>
        <v/>
      </c>
      <c r="J23" s="1169" t="s">
        <v>19</v>
      </c>
      <c r="K23" s="474"/>
      <c r="L23" s="43" t="s">
        <v>109</v>
      </c>
      <c r="M23" s="350"/>
      <c r="N23" s="82"/>
      <c r="O23" s="82"/>
      <c r="P23" s="82"/>
      <c r="Q23" s="82"/>
      <c r="R23" s="82"/>
      <c r="S23" s="82"/>
      <c r="T23" s="82"/>
      <c r="U23" s="351"/>
      <c r="V23" s="82"/>
      <c r="W23" s="82"/>
      <c r="X23" s="82"/>
      <c r="Y23" s="82" t="s">
        <v>119</v>
      </c>
      <c r="Z23" s="82">
        <v>1705000</v>
      </c>
      <c r="AA23" s="82"/>
      <c r="AB23" s="82"/>
      <c r="AC23" s="82"/>
      <c r="AD23" s="82"/>
      <c r="AE23" s="82"/>
      <c r="AF23" s="82"/>
      <c r="AG23" s="82"/>
      <c r="AH23" s="82"/>
      <c r="AI23" s="82"/>
      <c r="AJ23" s="82"/>
      <c r="AK23" s="82"/>
      <c r="AL23" s="82"/>
    </row>
    <row r="24" spans="1:80" s="35" customFormat="1" ht="15" customHeight="1">
      <c r="A24"/>
      <c r="B24"/>
      <c r="C24" s="87"/>
      <c r="D24" s="1170"/>
      <c r="E24" s="1172"/>
      <c r="F24" s="1169"/>
      <c r="G24" s="1178"/>
      <c r="H24" s="1159"/>
      <c r="I24" s="1180"/>
      <c r="J24" s="1169"/>
      <c r="K24" s="237"/>
      <c r="L24" s="88"/>
      <c r="M24" s="352" t="s">
        <v>120</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70"/>
      <c r="E25" s="1173"/>
      <c r="F25" s="1169"/>
      <c r="G25" s="237"/>
      <c r="H25" s="88"/>
      <c r="I25" s="110" t="s">
        <v>121</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3" t="s">
        <v>2045</v>
      </c>
      <c r="B27" s="983"/>
      <c r="C27" s="983"/>
      <c r="D27" s="983"/>
      <c r="E27" s="983"/>
      <c r="F27" s="983"/>
      <c r="G27" s="983"/>
      <c r="H27" s="983"/>
      <c r="I27" s="983"/>
      <c r="J27" s="983"/>
      <c r="K27" s="983"/>
      <c r="L27" s="983"/>
      <c r="M27" s="983"/>
      <c r="N27" s="983"/>
      <c r="O27" s="983"/>
      <c r="P27" s="983"/>
      <c r="Q27" s="983"/>
      <c r="R27" s="983"/>
      <c r="S27" s="983"/>
      <c r="T27" s="983"/>
      <c r="U27" s="95"/>
      <c r="V27" s="983"/>
      <c r="W27" s="983"/>
    </row>
    <row r="28" spans="1:80" ht="15" customHeight="1">
      <c r="U28" s="96"/>
    </row>
    <row r="29" spans="1:80" s="35" customFormat="1" ht="15" customHeight="1">
      <c r="A29"/>
      <c r="B29"/>
      <c r="C29" s="87"/>
      <c r="D29" s="436"/>
      <c r="E29" s="436"/>
      <c r="F29" s="436"/>
      <c r="G29" s="1567" t="s">
        <v>122</v>
      </c>
      <c r="H29" s="1">
        <v>1</v>
      </c>
      <c r="I29" s="1568" t="str">
        <f>IF(U29="","",INDEX(TERRITORY_MR_LIST,MATCH(U29,TERRITORY_LIST_ID,0)))</f>
        <v/>
      </c>
      <c r="J29" s="1169" t="s">
        <v>19</v>
      </c>
      <c r="K29" s="474"/>
      <c r="L29" s="43" t="s">
        <v>109</v>
      </c>
      <c r="M29" s="350"/>
      <c r="N29" s="82"/>
      <c r="O29" s="82"/>
      <c r="P29" s="82"/>
      <c r="Q29" s="82"/>
      <c r="R29" s="82"/>
      <c r="S29" s="82"/>
      <c r="T29" s="82"/>
      <c r="U29" s="351"/>
      <c r="V29" s="82"/>
      <c r="W29" s="82"/>
      <c r="X29" s="82"/>
      <c r="Y29" s="82" t="s">
        <v>119</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67"/>
      <c r="H30" s="1"/>
      <c r="I30" s="1568"/>
      <c r="J30" s="1169"/>
      <c r="K30" s="237"/>
      <c r="L30" s="88"/>
      <c r="M30" s="352" t="s">
        <v>120</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3" t="s">
        <v>2046</v>
      </c>
      <c r="B32" s="983"/>
      <c r="C32" s="983"/>
      <c r="D32" s="983"/>
      <c r="E32" s="983"/>
      <c r="F32" s="983"/>
      <c r="G32" s="983"/>
      <c r="H32" s="983"/>
      <c r="I32" s="983"/>
      <c r="J32" s="983"/>
      <c r="K32" s="983"/>
      <c r="L32" s="983"/>
      <c r="M32" s="983"/>
      <c r="N32" s="983"/>
      <c r="O32" s="983"/>
      <c r="P32" s="983"/>
      <c r="Q32" s="983"/>
      <c r="R32" s="983"/>
      <c r="S32" s="983"/>
      <c r="T32" s="983"/>
      <c r="U32" s="95"/>
      <c r="V32" s="983"/>
      <c r="W32" s="983"/>
    </row>
    <row r="33" spans="1:38" ht="15" customHeight="1">
      <c r="U33" s="96"/>
    </row>
    <row r="34" spans="1:38" s="35" customFormat="1" ht="15" customHeight="1">
      <c r="A34"/>
      <c r="B34"/>
      <c r="C34" s="87"/>
      <c r="D34" s="436"/>
      <c r="E34" s="436"/>
      <c r="F34" s="436"/>
      <c r="G34" s="436"/>
      <c r="H34" s="436"/>
      <c r="I34" s="436"/>
      <c r="J34" s="436"/>
      <c r="K34" s="980" t="s">
        <v>122</v>
      </c>
      <c r="L34" s="938" t="s">
        <v>109</v>
      </c>
      <c r="M34" s="465"/>
      <c r="N34" s="466"/>
      <c r="O34" s="82"/>
      <c r="P34" s="82"/>
      <c r="Q34" s="82"/>
      <c r="R34" s="82"/>
      <c r="S34" s="82"/>
      <c r="T34" s="82"/>
      <c r="U34" s="351"/>
      <c r="V34" s="82"/>
      <c r="W34" s="82"/>
      <c r="X34" s="82"/>
      <c r="Y34" s="82" t="s">
        <v>119</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3" customFormat="1" ht="11.25" customHeight="1">
      <c r="A37" s="983" t="s">
        <v>2047</v>
      </c>
    </row>
    <row r="38" spans="1:38" ht="11.25" customHeight="1"/>
    <row r="39" spans="1:38" s="254" customFormat="1" ht="22.5" customHeight="1">
      <c r="A39" s="495"/>
      <c r="B39" s="10"/>
      <c r="C39" s="496"/>
      <c r="D39" s="247"/>
      <c r="E39" s="497"/>
      <c r="F39" s="906"/>
      <c r="G39" s="436"/>
      <c r="H39" s="270"/>
    </row>
    <row r="40" spans="1:38" ht="11.25" customHeight="1"/>
    <row r="41" spans="1:38" s="983" customFormat="1" ht="11.25" customHeight="1">
      <c r="A41" s="983" t="s">
        <v>2048</v>
      </c>
    </row>
    <row r="42" spans="1:38" ht="11.25" customHeight="1"/>
    <row r="43" spans="1:38" s="254" customFormat="1" ht="22.5" customHeight="1">
      <c r="A43" s="10"/>
      <c r="B43" s="10"/>
      <c r="C43" s="10"/>
      <c r="D43" s="247"/>
      <c r="E43" s="497"/>
      <c r="F43" s="401"/>
      <c r="G43" s="436"/>
      <c r="H43" s="270"/>
    </row>
    <row r="44" spans="1:38" ht="11.25" customHeight="1"/>
    <row r="45" spans="1:38" s="983" customFormat="1" ht="11.25" customHeight="1">
      <c r="A45" s="983" t="s">
        <v>2049</v>
      </c>
    </row>
    <row r="46" spans="1:38" ht="11.25" customHeight="1"/>
    <row r="47" spans="1:38" s="254" customFormat="1" ht="24" customHeight="1">
      <c r="A47" s="1247" t="s">
        <v>319</v>
      </c>
      <c r="B47" s="289"/>
      <c r="C47" s="1258"/>
      <c r="D47" s="251" t="str">
        <f>A47</f>
        <v>5.1</v>
      </c>
      <c r="E47" s="249" t="s">
        <v>320</v>
      </c>
      <c r="F47" s="39" t="s">
        <v>312</v>
      </c>
      <c r="G47" s="250" t="s">
        <v>321</v>
      </c>
      <c r="H47" s="270"/>
      <c r="I47" s="489"/>
    </row>
    <row r="48" spans="1:38" s="254" customFormat="1" ht="22.5" customHeight="1">
      <c r="A48" s="1247"/>
      <c r="B48" s="289"/>
      <c r="C48" s="1258"/>
      <c r="D48" s="247" t="str">
        <f>D47&amp;".1"</f>
        <v>5.1.1</v>
      </c>
      <c r="E48" s="246" t="s">
        <v>322</v>
      </c>
      <c r="F48" s="248" t="s">
        <v>22</v>
      </c>
      <c r="G48" s="269"/>
      <c r="H48" s="270"/>
      <c r="I48" s="489"/>
    </row>
    <row r="49" spans="1:45" s="254" customFormat="1" ht="22.5" customHeight="1">
      <c r="A49" s="1247"/>
      <c r="B49" s="289"/>
      <c r="C49" s="1258"/>
      <c r="D49" s="247" t="str">
        <f>D47&amp;".2"</f>
        <v>5.1.2</v>
      </c>
      <c r="E49" s="246" t="s">
        <v>323</v>
      </c>
      <c r="F49" s="941" t="s">
        <v>22</v>
      </c>
      <c r="G49" s="250" t="s">
        <v>324</v>
      </c>
      <c r="H49" s="270"/>
      <c r="I49" s="489"/>
    </row>
    <row r="50" spans="1:45" s="254" customFormat="1" ht="22.5" customHeight="1">
      <c r="A50" s="1247"/>
      <c r="B50" s="289"/>
      <c r="C50" s="1258"/>
      <c r="D50" s="247" t="str">
        <f>D47&amp;".3"</f>
        <v>5.1.3</v>
      </c>
      <c r="E50" s="246" t="s">
        <v>325</v>
      </c>
      <c r="F50" s="248" t="s">
        <v>22</v>
      </c>
      <c r="G50" s="269"/>
      <c r="H50" s="270"/>
      <c r="I50" s="489"/>
    </row>
    <row r="51" spans="1:45" s="254" customFormat="1" ht="22.5" customHeight="1">
      <c r="A51" s="1247"/>
      <c r="B51" s="289"/>
      <c r="C51" s="1258"/>
      <c r="D51" s="247" t="str">
        <f>D47&amp;".4"</f>
        <v>5.1.4</v>
      </c>
      <c r="E51" s="246" t="s">
        <v>326</v>
      </c>
      <c r="F51" s="248" t="s">
        <v>22</v>
      </c>
      <c r="G51" s="250" t="s">
        <v>327</v>
      </c>
      <c r="H51" s="270"/>
      <c r="I51" s="489"/>
    </row>
    <row r="54" spans="1:45" s="983" customFormat="1" ht="17.25" customHeight="1">
      <c r="A54" s="983" t="s">
        <v>2050</v>
      </c>
    </row>
    <row r="56" spans="1:45" s="136" customFormat="1" ht="18.75" customHeight="1">
      <c r="A56"/>
      <c r="B56" s="34"/>
      <c r="C56" s="34"/>
      <c r="D56" s="502"/>
      <c r="E56" s="981"/>
      <c r="F56" s="504">
        <v>13</v>
      </c>
      <c r="G56" s="503"/>
      <c r="H56" s="455"/>
      <c r="I56" s="453"/>
      <c r="J56" s="296" t="s">
        <v>62</v>
      </c>
      <c r="K56" s="985" t="s">
        <v>22</v>
      </c>
      <c r="L56"/>
      <c r="M56" s="68"/>
      <c r="N56" s="68"/>
      <c r="O56" s="68"/>
      <c r="P56" s="293" t="s">
        <v>398</v>
      </c>
      <c r="Q56" s="293" t="s">
        <v>399</v>
      </c>
      <c r="R56" s="294" t="s">
        <v>400</v>
      </c>
      <c r="S56" s="68" t="s">
        <v>401</v>
      </c>
      <c r="T56" s="68"/>
      <c r="U56" s="68"/>
      <c r="V56" s="68"/>
    </row>
    <row r="58" spans="1:45" s="983" customFormat="1" ht="11.25" customHeight="1">
      <c r="A58" s="983" t="s">
        <v>2051</v>
      </c>
    </row>
    <row r="60" spans="1:45" s="11" customFormat="1" ht="14.25" customHeight="1">
      <c r="C60" s="23"/>
      <c r="D60" s="242"/>
      <c r="E60" s="402" t="s">
        <v>22</v>
      </c>
      <c r="F60" s="492"/>
      <c r="G60" s="493"/>
      <c r="H60" s="366"/>
      <c r="I60" s="366"/>
      <c r="J60" s="241"/>
      <c r="K60" s="1004"/>
      <c r="L60" s="240"/>
      <c r="M60" s="1004"/>
      <c r="N60" s="241"/>
      <c r="O60" s="1004"/>
      <c r="P60" s="241"/>
      <c r="Q60" s="1004"/>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387</v>
      </c>
      <c r="AQ60" s="69" t="s">
        <v>387</v>
      </c>
      <c r="AR60" s="68"/>
      <c r="AS60" s="68"/>
    </row>
    <row r="62" spans="1:45" s="983" customFormat="1" ht="11.25" customHeight="1">
      <c r="A62" s="983" t="s">
        <v>2052</v>
      </c>
    </row>
    <row r="64" spans="1:45" s="34" customFormat="1" ht="15" customHeight="1">
      <c r="A64" s="62" t="s">
        <v>90</v>
      </c>
      <c r="B64" s="34" t="s">
        <v>22</v>
      </c>
      <c r="C64" s="50"/>
      <c r="D64" s="43"/>
      <c r="E64" s="217"/>
      <c r="F64" s="217"/>
      <c r="G64" s="943"/>
      <c r="H64" s="985"/>
      <c r="I64" s="367"/>
      <c r="K64" s="160"/>
      <c r="L64" s="104"/>
    </row>
    <row r="66" spans="1:30" s="983" customFormat="1" ht="11.25" customHeight="1">
      <c r="A66" s="983" t="s">
        <v>2053</v>
      </c>
    </row>
    <row r="68" spans="1:30" s="11" customFormat="1" ht="14.25" customHeight="1">
      <c r="A68" s="34"/>
      <c r="B68" s="63"/>
      <c r="C68" s="28"/>
      <c r="D68" s="64"/>
      <c r="E68" s="511"/>
      <c r="F68" s="985"/>
      <c r="G68"/>
      <c r="I68" s="69"/>
      <c r="J68" s="69"/>
    </row>
    <row r="70" spans="1:30" s="983" customFormat="1" ht="11.25" customHeight="1">
      <c r="A70" s="983" t="s">
        <v>2054</v>
      </c>
    </row>
    <row r="72" spans="1:30" s="11" customFormat="1" ht="27" customHeight="1">
      <c r="A72" s="303"/>
      <c r="B72" s="303"/>
      <c r="C72" s="303"/>
      <c r="D72" s="63"/>
      <c r="E72" s="986"/>
      <c r="F72" s="1417"/>
      <c r="G72" s="1418"/>
      <c r="H72" s="1419" t="s">
        <v>62</v>
      </c>
      <c r="I72" s="1421"/>
      <c r="J72" s="1423"/>
      <c r="K72" s="1425"/>
      <c r="L72" s="1426"/>
      <c r="M72" s="1426"/>
      <c r="N72" s="1430"/>
      <c r="O72" s="1430"/>
      <c r="P72" s="1431" t="e">
        <f>DATEDIF(DATEVALUE(N72),DATEVALUE(O72),"y")&amp;"г. "&amp;DATEDIF(DATEVALUE(N72),DATEVALUE(O72),"ym")&amp;"мес. "&amp;DATEVALUE(O72)-DATE(YEAR(DATEVALUE(O72)),MONTH(DATEVALUE(O72)),1)&amp;"дн. "</f>
        <v>#VALUE!</v>
      </c>
      <c r="Q72" s="1427"/>
      <c r="R72" s="1427"/>
      <c r="S72" s="1427"/>
      <c r="T72" s="1423"/>
      <c r="U72" s="1427"/>
      <c r="V72" s="1427"/>
      <c r="W72" s="1427"/>
      <c r="X72" s="1423"/>
      <c r="Y72" s="1428" t="s">
        <v>62</v>
      </c>
      <c r="Z72" s="862"/>
      <c r="AA72" s="41">
        <v>1</v>
      </c>
      <c r="AB72" s="719"/>
      <c r="AD72" s="68" t="s">
        <v>2055</v>
      </c>
    </row>
    <row r="73" spans="1:30" s="11" customFormat="1" ht="10.5" customHeight="1">
      <c r="A73" s="303"/>
      <c r="B73" s="303"/>
      <c r="C73" s="303"/>
      <c r="D73" s="63"/>
      <c r="E73" s="544"/>
      <c r="F73" s="1417"/>
      <c r="G73" s="1418"/>
      <c r="H73" s="1420"/>
      <c r="I73" s="1422"/>
      <c r="J73" s="1424"/>
      <c r="K73" s="1425"/>
      <c r="L73" s="1426"/>
      <c r="M73" s="1426"/>
      <c r="N73" s="1430"/>
      <c r="O73" s="1430"/>
      <c r="P73" s="1431"/>
      <c r="Q73" s="1427"/>
      <c r="R73" s="1427"/>
      <c r="S73" s="1427"/>
      <c r="T73" s="1424"/>
      <c r="U73" s="1427"/>
      <c r="V73" s="1427"/>
      <c r="W73" s="1427"/>
      <c r="X73" s="1424"/>
      <c r="Y73" s="1429"/>
      <c r="Z73" s="40"/>
      <c r="AA73" s="334"/>
      <c r="AB73" s="352" t="s">
        <v>1033</v>
      </c>
    </row>
    <row r="75" spans="1:30" s="983" customFormat="1" ht="11.25" customHeight="1">
      <c r="A75" s="983" t="s">
        <v>2056</v>
      </c>
    </row>
    <row r="77" spans="1:30" s="11" customFormat="1" ht="27" customHeight="1">
      <c r="A77" s="303"/>
      <c r="B77" s="303"/>
      <c r="C77" s="303"/>
      <c r="D77" s="63"/>
      <c r="E77" s="986"/>
      <c r="F77" s="979"/>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2055</v>
      </c>
    </row>
    <row r="79" spans="1:30" s="983" customFormat="1" ht="11.25" customHeight="1">
      <c r="A79" s="983" t="s">
        <v>2057</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445"/>
      <c r="G82" s="1442"/>
      <c r="H82" s="1450" t="s">
        <v>382</v>
      </c>
      <c r="I82" s="1451"/>
      <c r="J82" s="1441"/>
      <c r="K82" s="1441"/>
      <c r="L82" s="1443"/>
      <c r="M82" s="1290"/>
      <c r="N82" s="1067"/>
      <c r="O82" s="1066"/>
      <c r="P82" s="1067"/>
      <c r="Q82" s="1067"/>
      <c r="R82" s="1067"/>
      <c r="S82" s="1067"/>
      <c r="T82" s="1067"/>
      <c r="U82" s="1067"/>
      <c r="V82" s="1067"/>
      <c r="W82" s="1067"/>
      <c r="X82" s="1067"/>
      <c r="Y82" s="1067"/>
      <c r="Z82" s="1067"/>
      <c r="AA82" s="1067"/>
      <c r="AB82" s="1067"/>
      <c r="AC82" s="1067"/>
      <c r="AD82" s="1067"/>
      <c r="AE82" s="1067"/>
      <c r="AF82" s="1449"/>
      <c r="AG82" s="1443"/>
      <c r="AH82" s="1443"/>
      <c r="AI82" s="1449"/>
      <c r="AJ82" s="1443"/>
      <c r="AK82" s="1443"/>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445"/>
      <c r="G83" s="1442"/>
      <c r="H83" s="1450"/>
      <c r="I83" s="1451"/>
      <c r="J83" s="1441"/>
      <c r="K83" s="1441"/>
      <c r="L83" s="1443"/>
      <c r="M83" s="1290"/>
      <c r="N83" s="1452"/>
      <c r="O83" s="1453"/>
      <c r="P83" s="1438"/>
      <c r="Q83" s="1441"/>
      <c r="R83" s="1441"/>
      <c r="S83" s="1441"/>
      <c r="T83" s="1441"/>
      <c r="U83" s="1441"/>
      <c r="V83" s="1441"/>
      <c r="W83" s="1441"/>
      <c r="X83" s="1441"/>
      <c r="Y83" s="1441"/>
      <c r="Z83" s="1068"/>
      <c r="AA83" s="1069"/>
      <c r="AB83" s="1069"/>
      <c r="AC83" s="1070"/>
      <c r="AD83" s="1070"/>
      <c r="AE83" s="1071"/>
      <c r="AF83" s="1449"/>
      <c r="AG83" s="1443"/>
      <c r="AH83" s="1443"/>
      <c r="AI83" s="1449"/>
      <c r="AJ83" s="1443"/>
      <c r="AK83" s="1443"/>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445"/>
      <c r="G84" s="1442"/>
      <c r="H84" s="1450"/>
      <c r="I84" s="1451"/>
      <c r="J84" s="1441"/>
      <c r="K84" s="1441"/>
      <c r="L84" s="1443"/>
      <c r="M84" s="1290"/>
      <c r="N84" s="1452"/>
      <c r="O84" s="1453"/>
      <c r="P84" s="1439"/>
      <c r="Q84" s="1441"/>
      <c r="R84" s="1441"/>
      <c r="S84" s="1441"/>
      <c r="T84" s="1441"/>
      <c r="U84" s="1441"/>
      <c r="V84" s="1441"/>
      <c r="W84" s="1441"/>
      <c r="X84" s="1441"/>
      <c r="Y84" s="1441"/>
      <c r="Z84" s="1072"/>
      <c r="AA84" s="1073"/>
      <c r="AB84" s="1074"/>
      <c r="AC84" s="1075"/>
      <c r="AD84" s="1074"/>
      <c r="AE84" s="1075"/>
      <c r="AF84" s="1449"/>
      <c r="AG84" s="1443"/>
      <c r="AH84" s="1443"/>
      <c r="AI84" s="1449"/>
      <c r="AJ84" s="1443"/>
      <c r="AK84" s="1443"/>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445"/>
      <c r="G85" s="1442"/>
      <c r="H85" s="1450"/>
      <c r="I85" s="1451"/>
      <c r="J85" s="1441"/>
      <c r="K85" s="1441"/>
      <c r="L85" s="1443"/>
      <c r="M85" s="1290"/>
      <c r="N85" s="1452"/>
      <c r="O85" s="1453"/>
      <c r="P85" s="1440"/>
      <c r="Q85" s="1441"/>
      <c r="R85" s="1441"/>
      <c r="S85" s="1441"/>
      <c r="T85" s="1441"/>
      <c r="U85" s="1441"/>
      <c r="V85" s="1441"/>
      <c r="W85" s="1441"/>
      <c r="X85" s="1441"/>
      <c r="Y85" s="1441"/>
      <c r="Z85" s="1068"/>
      <c r="AA85" s="1069"/>
      <c r="AB85" s="1076"/>
      <c r="AC85" s="1070"/>
      <c r="AD85" s="1070"/>
      <c r="AE85" s="1077"/>
      <c r="AF85" s="1449"/>
      <c r="AG85" s="1443"/>
      <c r="AH85" s="1443"/>
      <c r="AI85" s="1449"/>
      <c r="AJ85" s="1443"/>
      <c r="AK85" s="1443"/>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445"/>
      <c r="G86" s="1442"/>
      <c r="H86" s="1450"/>
      <c r="I86" s="1451"/>
      <c r="J86" s="1441"/>
      <c r="K86" s="1441"/>
      <c r="L86" s="1443"/>
      <c r="M86" s="1290"/>
      <c r="N86" s="1069"/>
      <c r="O86" s="1069"/>
      <c r="P86" s="1076"/>
      <c r="Q86" s="1069"/>
      <c r="R86" s="1069"/>
      <c r="S86" s="1069"/>
      <c r="T86" s="1069"/>
      <c r="U86" s="1069"/>
      <c r="V86" s="1069"/>
      <c r="W86" s="1069"/>
      <c r="X86" s="1069"/>
      <c r="Y86" s="1069"/>
      <c r="Z86" s="1069"/>
      <c r="AA86" s="1069"/>
      <c r="AB86" s="1069"/>
      <c r="AC86" s="1069"/>
      <c r="AD86" s="1069"/>
      <c r="AE86" s="1078"/>
      <c r="AF86" s="1449"/>
      <c r="AG86" s="1443"/>
      <c r="AH86" s="1443"/>
      <c r="AI86" s="1449"/>
      <c r="AJ86" s="1443"/>
      <c r="AK86" s="1443"/>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448"/>
      <c r="G87" s="688"/>
      <c r="H87" s="688"/>
      <c r="I87" s="1444" t="s">
        <v>1166</v>
      </c>
      <c r="J87" s="1444"/>
      <c r="K87" s="1444"/>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3" customFormat="1" ht="11.25" customHeight="1">
      <c r="A89" s="983" t="s">
        <v>2058</v>
      </c>
    </row>
    <row r="91" spans="1:58" s="11" customFormat="1" ht="11.25" customHeight="1">
      <c r="A91" s="303"/>
      <c r="B91" s="303"/>
      <c r="C91" s="303"/>
      <c r="D91" s="63"/>
      <c r="E91" s="10"/>
      <c r="F91" s="988"/>
      <c r="G91" s="989"/>
      <c r="H91" s="989"/>
      <c r="I91" s="874"/>
      <c r="J91" s="874"/>
      <c r="K91" s="990"/>
      <c r="L91" s="874"/>
      <c r="M91" s="989"/>
      <c r="N91" s="1459"/>
      <c r="O91" s="1483">
        <v>1</v>
      </c>
      <c r="P91" s="1461" t="s">
        <v>19</v>
      </c>
      <c r="Q91" s="1415" t="s">
        <v>22</v>
      </c>
      <c r="R91" s="1415" t="s">
        <v>22</v>
      </c>
      <c r="S91" s="1415" t="s">
        <v>22</v>
      </c>
      <c r="T91" s="1415" t="s">
        <v>22</v>
      </c>
      <c r="U91" s="1415" t="s">
        <v>22</v>
      </c>
      <c r="V91" s="1415" t="s">
        <v>22</v>
      </c>
      <c r="W91" s="1415" t="s">
        <v>22</v>
      </c>
      <c r="X91" s="1415" t="s">
        <v>22</v>
      </c>
      <c r="Y91" s="1415"/>
      <c r="Z91" s="675"/>
      <c r="AA91" s="676"/>
      <c r="AB91" s="676"/>
      <c r="AC91" s="680"/>
      <c r="AD91" s="680"/>
      <c r="AE91" s="680"/>
      <c r="AF91" s="1098"/>
      <c r="AG91" s="967"/>
      <c r="AH91" s="967"/>
      <c r="AI91" s="1098"/>
      <c r="AJ91" s="967"/>
      <c r="AK91" s="1054"/>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8"/>
      <c r="G92" s="989"/>
      <c r="H92" s="989"/>
      <c r="I92" s="971"/>
      <c r="J92" s="971"/>
      <c r="K92" s="990"/>
      <c r="L92" s="971"/>
      <c r="M92" s="989"/>
      <c r="N92" s="1459"/>
      <c r="O92" s="1483"/>
      <c r="P92" s="1462"/>
      <c r="Q92" s="1415"/>
      <c r="R92" s="1415"/>
      <c r="S92" s="1464"/>
      <c r="T92" s="1415"/>
      <c r="U92" s="1415"/>
      <c r="V92" s="1415"/>
      <c r="W92" s="1415"/>
      <c r="X92" s="1415"/>
      <c r="Y92" s="1415"/>
      <c r="Z92" s="987"/>
      <c r="AA92" s="978">
        <v>1</v>
      </c>
      <c r="AB92" s="679"/>
      <c r="AC92" s="380"/>
      <c r="AD92" s="679">
        <f>AB92</f>
        <v>0</v>
      </c>
      <c r="AE92" s="421"/>
      <c r="AF92" s="1099"/>
      <c r="AG92" s="967"/>
      <c r="AH92" s="967"/>
      <c r="AI92" s="1099"/>
      <c r="AJ92" s="967"/>
      <c r="AK92" s="1054"/>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8"/>
      <c r="G93" s="989"/>
      <c r="H93" s="989"/>
      <c r="I93" s="972"/>
      <c r="J93" s="972"/>
      <c r="K93" s="990"/>
      <c r="L93" s="972"/>
      <c r="M93" s="989"/>
      <c r="N93" s="1459"/>
      <c r="O93" s="1483"/>
      <c r="P93" s="1463"/>
      <c r="Q93" s="1415"/>
      <c r="R93" s="1415"/>
      <c r="S93" s="1464"/>
      <c r="T93" s="1415"/>
      <c r="U93" s="1415"/>
      <c r="V93" s="1415"/>
      <c r="W93" s="1415"/>
      <c r="X93" s="1415"/>
      <c r="Y93" s="1415"/>
      <c r="Z93" s="675"/>
      <c r="AA93" s="676"/>
      <c r="AB93" s="110" t="s">
        <v>1078</v>
      </c>
      <c r="AC93" s="680"/>
      <c r="AD93" s="680"/>
      <c r="AE93" s="680"/>
      <c r="AF93" s="1100"/>
      <c r="AG93" s="967"/>
      <c r="AH93" s="967"/>
      <c r="AI93" s="1100"/>
      <c r="AJ93" s="967"/>
      <c r="AK93" s="1054"/>
      <c r="AL93" s="714"/>
      <c r="AM93" s="34"/>
      <c r="AN93" s="34"/>
      <c r="AO93" s="34"/>
      <c r="AP93" s="34"/>
      <c r="AQ93" s="34"/>
      <c r="AR93" s="34"/>
      <c r="AS93" s="34"/>
      <c r="AT93" s="34"/>
      <c r="AU93" s="34"/>
      <c r="AV93" s="34"/>
      <c r="AW93" s="34"/>
      <c r="AX93" s="34"/>
      <c r="AY93" s="34"/>
      <c r="AZ93" s="34"/>
      <c r="BA93" s="34"/>
      <c r="BB93" s="34"/>
      <c r="BC93" s="34"/>
      <c r="BD93" s="34"/>
      <c r="BE93" s="34"/>
      <c r="BF93" s="34"/>
    </row>
    <row r="95" spans="1:58" s="983" customFormat="1" ht="11.25" customHeight="1">
      <c r="A95" s="983" t="s">
        <v>2059</v>
      </c>
    </row>
    <row r="97" spans="1:184" s="11" customFormat="1" ht="11.25" customHeight="1">
      <c r="A97" s="303"/>
      <c r="B97" s="303"/>
      <c r="C97" s="303"/>
      <c r="D97" s="63"/>
      <c r="E97" s="10"/>
      <c r="F97" s="989"/>
      <c r="G97" s="989"/>
      <c r="H97" s="989"/>
      <c r="I97" s="989"/>
      <c r="J97" s="989"/>
      <c r="K97" s="989"/>
      <c r="L97" s="989"/>
      <c r="M97" s="989"/>
      <c r="N97" s="989"/>
      <c r="O97" s="989"/>
      <c r="P97" s="989"/>
      <c r="Q97" s="989"/>
      <c r="R97" s="989"/>
      <c r="S97" s="989"/>
      <c r="T97" s="989"/>
      <c r="U97" s="989"/>
      <c r="V97" s="989"/>
      <c r="W97" s="989"/>
      <c r="X97" s="989"/>
      <c r="Y97" s="989"/>
      <c r="Z97" s="991"/>
      <c r="AA97" s="982">
        <v>1</v>
      </c>
      <c r="AB97" s="679"/>
      <c r="AC97" s="380"/>
      <c r="AD97" s="679">
        <f>AB97</f>
        <v>0</v>
      </c>
      <c r="AE97" s="380"/>
      <c r="AF97" s="1097"/>
      <c r="AG97" s="967"/>
      <c r="AH97" s="967"/>
      <c r="AI97" s="1097"/>
      <c r="AJ97" s="967"/>
      <c r="AK97" s="1054"/>
      <c r="AL97" s="714"/>
      <c r="AM97" s="34"/>
      <c r="AN97" s="34"/>
      <c r="AO97" s="34"/>
      <c r="AP97" s="34"/>
      <c r="AQ97" s="34"/>
      <c r="AR97" s="34"/>
      <c r="AS97" s="34"/>
      <c r="AT97" s="34"/>
      <c r="AU97" s="34"/>
      <c r="AV97" s="34"/>
      <c r="AW97" s="34"/>
      <c r="AX97" s="34"/>
      <c r="AY97" s="34"/>
      <c r="AZ97" s="34"/>
      <c r="BA97" s="34"/>
      <c r="BB97" s="34"/>
      <c r="BC97" s="34"/>
      <c r="BD97" s="34"/>
      <c r="BE97" s="34"/>
      <c r="BF97" s="34"/>
    </row>
    <row r="99" spans="1:184" s="983" customFormat="1" ht="11.25" customHeight="1">
      <c r="A99" s="983" t="s">
        <v>2060</v>
      </c>
    </row>
    <row r="101" spans="1:184" s="11" customFormat="1" ht="11.25" customHeight="1">
      <c r="A101" s="303"/>
      <c r="B101" s="303"/>
      <c r="C101" s="303"/>
      <c r="D101" s="63"/>
      <c r="E101" s="10"/>
      <c r="F101" s="988"/>
      <c r="G101" s="989"/>
      <c r="H101" s="1442" t="s">
        <v>109</v>
      </c>
      <c r="I101" s="1454"/>
      <c r="J101" s="1455"/>
      <c r="K101" s="1456"/>
      <c r="L101" s="1169" t="s">
        <v>19</v>
      </c>
      <c r="M101" s="1170"/>
      <c r="N101" s="1053"/>
      <c r="O101" s="677" t="s">
        <v>382</v>
      </c>
      <c r="P101" s="678"/>
      <c r="Q101" s="678"/>
      <c r="R101" s="678"/>
      <c r="S101" s="678"/>
      <c r="T101" s="678"/>
      <c r="U101" s="678"/>
      <c r="V101" s="678"/>
      <c r="W101" s="678"/>
      <c r="X101" s="678"/>
      <c r="Y101" s="678"/>
      <c r="Z101" s="678"/>
      <c r="AA101" s="678"/>
      <c r="AB101" s="678"/>
      <c r="AC101" s="678"/>
      <c r="AD101" s="678"/>
      <c r="AE101" s="678"/>
      <c r="AF101" s="1457"/>
      <c r="AG101" s="1458"/>
      <c r="AH101" s="1458"/>
      <c r="AI101" s="1457"/>
      <c r="AJ101" s="1458"/>
      <c r="AK101" s="1458"/>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8"/>
      <c r="G102" s="989"/>
      <c r="H102" s="1442"/>
      <c r="I102" s="1454"/>
      <c r="J102" s="1455"/>
      <c r="K102" s="1456"/>
      <c r="L102" s="1169"/>
      <c r="M102" s="1170"/>
      <c r="N102" s="1459"/>
      <c r="O102" s="1460">
        <v>1</v>
      </c>
      <c r="P102" s="1461" t="s">
        <v>19</v>
      </c>
      <c r="Q102" s="1415" t="s">
        <v>22</v>
      </c>
      <c r="R102" s="1415" t="s">
        <v>22</v>
      </c>
      <c r="S102" s="1415" t="s">
        <v>22</v>
      </c>
      <c r="T102" s="1415" t="s">
        <v>22</v>
      </c>
      <c r="U102" s="1415" t="s">
        <v>22</v>
      </c>
      <c r="V102" s="1415" t="s">
        <v>22</v>
      </c>
      <c r="W102" s="1415" t="s">
        <v>22</v>
      </c>
      <c r="X102" s="1415" t="s">
        <v>22</v>
      </c>
      <c r="Y102" s="1415"/>
      <c r="Z102" s="675"/>
      <c r="AA102" s="676"/>
      <c r="AB102" s="676"/>
      <c r="AC102" s="680"/>
      <c r="AD102" s="680"/>
      <c r="AE102" s="681"/>
      <c r="AF102" s="1457"/>
      <c r="AG102" s="1458"/>
      <c r="AH102" s="1458"/>
      <c r="AI102" s="1457"/>
      <c r="AJ102" s="1458"/>
      <c r="AK102" s="1458"/>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8"/>
      <c r="G103" s="989"/>
      <c r="H103" s="1442"/>
      <c r="I103" s="1454"/>
      <c r="J103" s="1455"/>
      <c r="K103" s="1456"/>
      <c r="L103" s="1169"/>
      <c r="M103" s="1170"/>
      <c r="N103" s="1459"/>
      <c r="O103" s="1460"/>
      <c r="P103" s="1462"/>
      <c r="Q103" s="1415"/>
      <c r="R103" s="1415"/>
      <c r="S103" s="1464"/>
      <c r="T103" s="1415"/>
      <c r="U103" s="1415"/>
      <c r="V103" s="1415"/>
      <c r="W103" s="1415"/>
      <c r="X103" s="1415"/>
      <c r="Y103" s="1415"/>
      <c r="Z103" s="987"/>
      <c r="AA103" s="978">
        <v>1</v>
      </c>
      <c r="AB103" s="679"/>
      <c r="AC103" s="380"/>
      <c r="AD103" s="679">
        <f>AB103</f>
        <v>0</v>
      </c>
      <c r="AE103" s="380"/>
      <c r="AF103" s="1457"/>
      <c r="AG103" s="1458"/>
      <c r="AH103" s="1458"/>
      <c r="AI103" s="1457"/>
      <c r="AJ103" s="1458"/>
      <c r="AK103" s="1458"/>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8"/>
      <c r="G104" s="989"/>
      <c r="H104" s="1442"/>
      <c r="I104" s="1454"/>
      <c r="J104" s="1455"/>
      <c r="K104" s="1456"/>
      <c r="L104" s="1169"/>
      <c r="M104" s="1170"/>
      <c r="N104" s="1459"/>
      <c r="O104" s="1460"/>
      <c r="P104" s="1463"/>
      <c r="Q104" s="1415"/>
      <c r="R104" s="1415"/>
      <c r="S104" s="1464"/>
      <c r="T104" s="1415"/>
      <c r="U104" s="1415"/>
      <c r="V104" s="1415"/>
      <c r="W104" s="1415"/>
      <c r="X104" s="1415"/>
      <c r="Y104" s="1415"/>
      <c r="Z104" s="675"/>
      <c r="AA104" s="676"/>
      <c r="AB104" s="110" t="s">
        <v>1078</v>
      </c>
      <c r="AC104" s="680"/>
      <c r="AD104" s="680"/>
      <c r="AE104" s="682"/>
      <c r="AF104" s="1457"/>
      <c r="AG104" s="1458"/>
      <c r="AH104" s="1458"/>
      <c r="AI104" s="1457"/>
      <c r="AJ104" s="1458"/>
      <c r="AK104" s="1458"/>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8"/>
      <c r="G105" s="989"/>
      <c r="H105" s="1442"/>
      <c r="I105" s="1454"/>
      <c r="J105" s="1455"/>
      <c r="K105" s="1456"/>
      <c r="L105" s="1169"/>
      <c r="M105" s="1170"/>
      <c r="N105" s="675"/>
      <c r="O105" s="676"/>
      <c r="P105" s="110" t="s">
        <v>1079</v>
      </c>
      <c r="Q105" s="676"/>
      <c r="R105" s="676"/>
      <c r="S105" s="676"/>
      <c r="T105" s="676"/>
      <c r="U105" s="676"/>
      <c r="V105" s="676"/>
      <c r="W105" s="676"/>
      <c r="X105" s="676"/>
      <c r="Y105" s="676"/>
      <c r="Z105" s="676"/>
      <c r="AA105" s="676"/>
      <c r="AB105" s="676"/>
      <c r="AC105" s="676"/>
      <c r="AD105" s="676"/>
      <c r="AE105" s="683"/>
      <c r="AF105" s="1457"/>
      <c r="AG105" s="1458"/>
      <c r="AH105" s="1458"/>
      <c r="AI105" s="1457"/>
      <c r="AJ105" s="1458"/>
      <c r="AK105" s="1458"/>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3" customFormat="1" ht="11.25" customHeight="1">
      <c r="A107" s="983" t="s">
        <v>2061</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49"/>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1288</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3" customFormat="1" ht="11.25" customHeight="1">
      <c r="A113" s="983" t="s">
        <v>2062</v>
      </c>
    </row>
    <row r="115" spans="1:83" ht="15" hidden="1" customHeight="1">
      <c r="A115" s="32"/>
      <c r="D115" s="1397" t="s">
        <v>109</v>
      </c>
      <c r="E115" s="1394" t="s">
        <v>105</v>
      </c>
      <c r="F115" s="1395"/>
      <c r="G115" s="1396"/>
      <c r="H115" s="1390" t="str">
        <f>IF(A115="","",INDEX(DIFFERENTIATION_UNMERGE_VD,MATCH(A115,DIFFERENTIATION_ID_DIFF,0)))</f>
        <v/>
      </c>
      <c r="I115" s="1390"/>
      <c r="J115" s="1390"/>
      <c r="K115" s="1390"/>
      <c r="L115" s="1390"/>
      <c r="M115" s="1390"/>
      <c r="N115" s="1390"/>
      <c r="O115" s="1390"/>
      <c r="P115" s="1390"/>
      <c r="Q115" s="1390"/>
      <c r="R115" s="1390"/>
      <c r="S115" s="416"/>
      <c r="T115" s="414"/>
      <c r="U115" s="104"/>
      <c r="V115" s="104"/>
      <c r="W115" s="62"/>
      <c r="X115" s="62"/>
      <c r="Y115" s="62"/>
      <c r="Z115" s="62"/>
      <c r="AA115" s="104"/>
      <c r="AB115" s="62"/>
      <c r="AC115" s="1393"/>
      <c r="AD115" s="62"/>
      <c r="AE115" s="359" t="s">
        <v>22</v>
      </c>
      <c r="AF115" s="359"/>
      <c r="AG115" s="360" t="s">
        <v>623</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hidden="1" customHeight="1">
      <c r="A116" s="32"/>
      <c r="D116" s="1398"/>
      <c r="E116" s="1394" t="s">
        <v>568</v>
      </c>
      <c r="F116" s="1395"/>
      <c r="G116" s="1396"/>
      <c r="H116" s="1390" t="str">
        <f>IF(A115="","",INDEX(DIFFERENTIATION_UNMERGE_AREA,MATCH(A115,DIFFERENTIATION_ID_DIFF,0)))</f>
        <v/>
      </c>
      <c r="I116" s="1390"/>
      <c r="J116" s="1390"/>
      <c r="K116" s="1390"/>
      <c r="L116" s="1390"/>
      <c r="M116" s="1390"/>
      <c r="N116" s="1390"/>
      <c r="O116" s="1390"/>
      <c r="P116" s="1390"/>
      <c r="Q116" s="1390"/>
      <c r="R116" s="1390"/>
      <c r="S116" s="416"/>
      <c r="T116" s="414"/>
      <c r="U116" s="104"/>
      <c r="V116" s="104"/>
      <c r="W116" s="62"/>
      <c r="X116" s="62"/>
      <c r="Y116" s="62"/>
      <c r="Z116" s="62"/>
      <c r="AA116" s="104"/>
      <c r="AB116" s="62"/>
      <c r="AC116" s="1393"/>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hidden="1" customHeight="1">
      <c r="A117" s="32"/>
      <c r="D117" s="1398"/>
      <c r="E117" s="1394" t="s">
        <v>569</v>
      </c>
      <c r="F117" s="1395"/>
      <c r="G117" s="1396"/>
      <c r="H117" s="1390" t="str">
        <f>IF(A115="","",INDEX(DIFFERENTIATION_UNMERGE_SYSTEM,MATCH(A115,DIFFERENTIATION_ID_DIFF,0)))</f>
        <v/>
      </c>
      <c r="I117" s="1390"/>
      <c r="J117" s="1390"/>
      <c r="K117" s="1390"/>
      <c r="L117" s="1390"/>
      <c r="M117" s="1390"/>
      <c r="N117" s="1390"/>
      <c r="O117" s="1390"/>
      <c r="P117" s="1390"/>
      <c r="Q117" s="1390"/>
      <c r="R117" s="1390"/>
      <c r="S117" s="416"/>
      <c r="T117" s="414"/>
      <c r="U117" s="104"/>
      <c r="V117" s="104"/>
      <c r="W117" s="62"/>
      <c r="X117" s="62"/>
      <c r="Y117" s="62"/>
      <c r="Z117" s="62"/>
      <c r="AA117" s="104"/>
      <c r="AB117" s="62"/>
      <c r="AC117" s="1393"/>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hidden="1" customHeight="1">
      <c r="A118" s="301"/>
      <c r="B118" s="63"/>
      <c r="C118" s="235"/>
      <c r="D118" s="1398"/>
      <c r="E118" s="1392" t="s">
        <v>624</v>
      </c>
      <c r="F118" s="1392"/>
      <c r="G118" s="1392"/>
      <c r="H118" s="1392"/>
      <c r="I118" s="1392"/>
      <c r="J118" s="1392"/>
      <c r="K118" s="1392"/>
      <c r="L118" s="1392"/>
      <c r="M118" s="1392"/>
      <c r="N118" s="1392"/>
      <c r="O118" s="1392"/>
      <c r="P118" s="1392"/>
      <c r="Q118" s="322">
        <f>SUMIF(T119:T120,"i",Q119:Q120)</f>
        <v>0</v>
      </c>
      <c r="R118" s="596"/>
      <c r="S118" s="153" t="s">
        <v>625</v>
      </c>
      <c r="T118" s="414" t="s">
        <v>626</v>
      </c>
      <c r="U118" s="1297">
        <v>1</v>
      </c>
      <c r="V118" s="1297" t="e">
        <f>INDEX(B_FHD_FLAG_INDEX_1,1,MATCH(A115,B_FHD_FLAG_DIFFERENTIATION,0))</f>
        <v>#N/A</v>
      </c>
      <c r="W118" s="63"/>
      <c r="X118" s="63"/>
      <c r="Y118" s="63"/>
      <c r="Z118" s="63"/>
      <c r="AA118" s="68"/>
      <c r="AB118" s="63"/>
      <c r="AC118" s="1393"/>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398"/>
      <c r="E119" s="362"/>
      <c r="F119" s="362">
        <v>0</v>
      </c>
      <c r="G119" s="362"/>
      <c r="H119" s="362"/>
      <c r="I119" s="362"/>
      <c r="J119" s="362"/>
      <c r="K119" s="362"/>
      <c r="L119" s="362"/>
      <c r="M119" s="362"/>
      <c r="N119" s="362"/>
      <c r="O119" s="362"/>
      <c r="P119" s="362"/>
      <c r="Q119" s="362"/>
      <c r="R119" s="362"/>
      <c r="S119" s="317"/>
      <c r="T119" s="415"/>
      <c r="U119" s="1297"/>
      <c r="V119" s="1297"/>
      <c r="W119" s="68"/>
      <c r="X119" s="68"/>
      <c r="Y119" s="68"/>
      <c r="Z119" s="68"/>
      <c r="AA119" s="68"/>
      <c r="AB119" s="63"/>
      <c r="AC119" s="1393"/>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hidden="1" customHeight="1">
      <c r="A120" s="301"/>
      <c r="B120" s="63"/>
      <c r="C120" s="235"/>
      <c r="D120" s="1398"/>
      <c r="E120" s="184" t="s">
        <v>22</v>
      </c>
      <c r="F120" s="110" t="s">
        <v>22</v>
      </c>
      <c r="G120" s="110" t="s">
        <v>629</v>
      </c>
      <c r="H120" s="52" t="s">
        <v>22</v>
      </c>
      <c r="I120" s="52"/>
      <c r="J120" s="52"/>
      <c r="K120" s="52"/>
      <c r="L120" s="52"/>
      <c r="M120" s="52"/>
      <c r="N120" s="52"/>
      <c r="O120" s="52"/>
      <c r="P120" s="52"/>
      <c r="Q120" s="52"/>
      <c r="R120" s="352"/>
      <c r="S120" s="371"/>
      <c r="T120" s="415"/>
      <c r="U120" s="1297"/>
      <c r="V120" s="1297"/>
      <c r="W120" s="63"/>
      <c r="X120" s="63"/>
      <c r="Y120" s="63"/>
      <c r="Z120" s="63"/>
      <c r="AA120" s="68"/>
      <c r="AB120" s="63"/>
      <c r="AC120" s="1393"/>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hidden="1" customHeight="1">
      <c r="A121" s="301"/>
      <c r="B121" s="63"/>
      <c r="C121" s="235"/>
      <c r="D121" s="1398"/>
      <c r="E121" s="1392" t="s">
        <v>627</v>
      </c>
      <c r="F121" s="1392"/>
      <c r="G121" s="1392"/>
      <c r="H121" s="1392"/>
      <c r="I121" s="1392"/>
      <c r="J121" s="1392"/>
      <c r="K121" s="1392"/>
      <c r="L121" s="1392"/>
      <c r="M121" s="1392"/>
      <c r="N121" s="1392"/>
      <c r="O121" s="1392"/>
      <c r="P121" s="1392"/>
      <c r="Q121" s="322">
        <f>SUMIF(T122:T123,"i",Q122:Q123)</f>
        <v>0</v>
      </c>
      <c r="R121" s="596"/>
      <c r="S121" s="153" t="s">
        <v>628</v>
      </c>
      <c r="T121" s="414" t="s">
        <v>626</v>
      </c>
      <c r="U121" s="1297">
        <v>1</v>
      </c>
      <c r="V121" s="1297" t="e">
        <f>INDEX(B_FHD_FLAG_INDEX_2,1,MATCH(A115,B_FHD_FLAG_DIFFERENTIATION,0))</f>
        <v>#N/A</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398"/>
      <c r="E122" s="362"/>
      <c r="F122" s="362">
        <v>0</v>
      </c>
      <c r="G122" s="362"/>
      <c r="H122" s="362"/>
      <c r="I122" s="362"/>
      <c r="J122" s="362"/>
      <c r="K122" s="362"/>
      <c r="L122" s="362"/>
      <c r="M122" s="362"/>
      <c r="N122" s="362"/>
      <c r="O122" s="362"/>
      <c r="P122" s="362"/>
      <c r="Q122" s="362"/>
      <c r="R122" s="362"/>
      <c r="S122" s="317"/>
      <c r="T122" s="415"/>
      <c r="U122" s="1297"/>
      <c r="V122" s="1297"/>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hidden="1" customHeight="1">
      <c r="A123" s="301"/>
      <c r="B123" s="63"/>
      <c r="C123" s="235"/>
      <c r="D123" s="1399"/>
      <c r="E123" s="184" t="s">
        <v>22</v>
      </c>
      <c r="F123" s="110" t="s">
        <v>22</v>
      </c>
      <c r="G123" s="110" t="s">
        <v>629</v>
      </c>
      <c r="H123" s="52" t="s">
        <v>22</v>
      </c>
      <c r="I123" s="52"/>
      <c r="J123" s="52"/>
      <c r="K123" s="52"/>
      <c r="L123" s="52"/>
      <c r="M123" s="52"/>
      <c r="N123" s="52"/>
      <c r="O123" s="52"/>
      <c r="P123" s="52"/>
      <c r="Q123" s="52"/>
      <c r="R123" s="352"/>
      <c r="S123" s="371"/>
      <c r="T123" s="415"/>
      <c r="U123" s="1297"/>
      <c r="V123" s="1297"/>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3" customFormat="1" ht="11.25" customHeight="1">
      <c r="A125" s="983" t="s">
        <v>2063</v>
      </c>
    </row>
    <row r="127" spans="1:83" ht="15" customHeight="1">
      <c r="A127" s="32"/>
      <c r="D127" s="1397" t="s">
        <v>109</v>
      </c>
      <c r="E127" s="1394" t="s">
        <v>105</v>
      </c>
      <c r="F127" s="1395"/>
      <c r="G127" s="1396"/>
      <c r="H127" s="1390" t="str">
        <f>IF(A127="","",INDEX(DIFFERENTIATION_UNMERGE_VD,MATCH(A127,DIFFERENTIATION_ID_DIFF,0)))</f>
        <v/>
      </c>
      <c r="I127" s="1390"/>
      <c r="J127" s="1390"/>
      <c r="K127" s="1390"/>
      <c r="L127" s="1390"/>
      <c r="M127" s="1390"/>
      <c r="N127" s="1390"/>
      <c r="O127" s="1390"/>
      <c r="P127" s="1390"/>
      <c r="Q127" s="1390"/>
      <c r="R127" s="1390"/>
      <c r="S127" s="416"/>
      <c r="T127" s="414"/>
      <c r="U127" s="104"/>
      <c r="V127" s="104"/>
      <c r="W127" s="62"/>
      <c r="X127" s="62"/>
      <c r="Y127" s="62"/>
      <c r="Z127" s="62"/>
      <c r="AA127" s="104"/>
      <c r="AB127" s="62"/>
      <c r="AC127" s="1393"/>
      <c r="AD127" s="62"/>
      <c r="AE127" s="359" t="s">
        <v>22</v>
      </c>
      <c r="AF127" s="359"/>
      <c r="AG127" s="360" t="s">
        <v>623</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398"/>
      <c r="E128" s="1394" t="s">
        <v>568</v>
      </c>
      <c r="F128" s="1395"/>
      <c r="G128" s="1396"/>
      <c r="H128" s="1390" t="str">
        <f>IF(A127="","",INDEX(DIFFERENTIATION_UNMERGE_AREA,MATCH(A127,DIFFERENTIATION_ID_DIFF,0)))</f>
        <v/>
      </c>
      <c r="I128" s="1390"/>
      <c r="J128" s="1390"/>
      <c r="K128" s="1390"/>
      <c r="L128" s="1390"/>
      <c r="M128" s="1390"/>
      <c r="N128" s="1390"/>
      <c r="O128" s="1390"/>
      <c r="P128" s="1390"/>
      <c r="Q128" s="1390"/>
      <c r="R128" s="1390"/>
      <c r="S128" s="416"/>
      <c r="T128" s="414"/>
      <c r="U128" s="104"/>
      <c r="V128" s="104"/>
      <c r="W128" s="62"/>
      <c r="X128" s="62"/>
      <c r="Y128" s="62"/>
      <c r="Z128" s="62"/>
      <c r="AA128" s="104"/>
      <c r="AB128" s="62"/>
      <c r="AC128" s="1393"/>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398"/>
      <c r="E129" s="1394" t="s">
        <v>569</v>
      </c>
      <c r="F129" s="1395"/>
      <c r="G129" s="1396"/>
      <c r="H129" s="1390" t="str">
        <f>IF(A127="","",INDEX(DIFFERENTIATION_UNMERGE_SYSTEM,MATCH(A127,DIFFERENTIATION_ID_DIFF,0)))</f>
        <v/>
      </c>
      <c r="I129" s="1390"/>
      <c r="J129" s="1390"/>
      <c r="K129" s="1390"/>
      <c r="L129" s="1390"/>
      <c r="M129" s="1390"/>
      <c r="N129" s="1390"/>
      <c r="O129" s="1390"/>
      <c r="P129" s="1390"/>
      <c r="Q129" s="1390"/>
      <c r="R129" s="1390"/>
      <c r="S129" s="416"/>
      <c r="T129" s="414"/>
      <c r="U129" s="104"/>
      <c r="V129" s="104"/>
      <c r="W129" s="62"/>
      <c r="X129" s="62"/>
      <c r="Y129" s="62"/>
      <c r="Z129" s="62"/>
      <c r="AA129" s="104"/>
      <c r="AB129" s="62"/>
      <c r="AC129" s="1393"/>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398"/>
      <c r="E130" s="1392" t="s">
        <v>624</v>
      </c>
      <c r="F130" s="1392"/>
      <c r="G130" s="1392"/>
      <c r="H130" s="1392"/>
      <c r="I130" s="1392"/>
      <c r="J130" s="1392"/>
      <c r="K130" s="1392"/>
      <c r="L130" s="1392"/>
      <c r="M130" s="1392"/>
      <c r="N130" s="1392"/>
      <c r="O130" s="1392"/>
      <c r="P130" s="1392"/>
      <c r="Q130" s="322">
        <f>SUMIF(T131:T132,"i",Q131:Q132)</f>
        <v>0</v>
      </c>
      <c r="R130" s="596"/>
      <c r="S130" s="153" t="s">
        <v>625</v>
      </c>
      <c r="T130" s="414" t="s">
        <v>626</v>
      </c>
      <c r="U130" s="1297">
        <v>1</v>
      </c>
      <c r="V130" s="1297" t="e">
        <f>INDEX(B_FHD_FLAG_INDEX_1,1,MATCH(A127,B_FHD_FLAG_DIFFERENTIATION,0))</f>
        <v>#N/A</v>
      </c>
      <c r="W130" s="63"/>
      <c r="X130" s="63"/>
      <c r="Y130" s="63"/>
      <c r="Z130" s="63"/>
      <c r="AA130" s="68"/>
      <c r="AB130" s="63"/>
      <c r="AC130" s="1393"/>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398"/>
      <c r="E131" s="362"/>
      <c r="F131" s="362">
        <v>0</v>
      </c>
      <c r="G131" s="362"/>
      <c r="H131" s="362"/>
      <c r="I131" s="362"/>
      <c r="J131" s="362"/>
      <c r="K131" s="362"/>
      <c r="L131" s="362"/>
      <c r="M131" s="362"/>
      <c r="N131" s="362"/>
      <c r="O131" s="362"/>
      <c r="P131" s="362"/>
      <c r="Q131" s="362"/>
      <c r="R131" s="362"/>
      <c r="S131" s="317"/>
      <c r="T131" s="415"/>
      <c r="U131" s="1297"/>
      <c r="V131" s="1297"/>
      <c r="W131" s="68"/>
      <c r="X131" s="68"/>
      <c r="Y131" s="68"/>
      <c r="Z131" s="68"/>
      <c r="AA131" s="68"/>
      <c r="AB131" s="63"/>
      <c r="AC131" s="1393"/>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398"/>
      <c r="E132" s="184" t="s">
        <v>22</v>
      </c>
      <c r="F132" s="110" t="s">
        <v>22</v>
      </c>
      <c r="G132" s="110" t="s">
        <v>629</v>
      </c>
      <c r="H132" s="52" t="s">
        <v>22</v>
      </c>
      <c r="I132" s="52"/>
      <c r="J132" s="52"/>
      <c r="K132" s="52"/>
      <c r="L132" s="52"/>
      <c r="M132" s="52"/>
      <c r="N132" s="52"/>
      <c r="O132" s="52"/>
      <c r="P132" s="52"/>
      <c r="Q132" s="52"/>
      <c r="R132" s="352"/>
      <c r="S132" s="371"/>
      <c r="T132" s="415"/>
      <c r="U132" s="1297"/>
      <c r="V132" s="1297"/>
      <c r="W132" s="63"/>
      <c r="X132" s="63"/>
      <c r="Y132" s="63"/>
      <c r="Z132" s="63"/>
      <c r="AA132" s="68"/>
      <c r="AB132" s="63"/>
      <c r="AC132" s="1393"/>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398"/>
      <c r="E133" s="611"/>
      <c r="F133" s="611"/>
      <c r="G133" s="611"/>
      <c r="H133" s="611"/>
      <c r="I133" s="611"/>
      <c r="J133" s="611"/>
      <c r="K133" s="611"/>
      <c r="L133" s="611"/>
      <c r="M133" s="611"/>
      <c r="N133" s="611"/>
      <c r="O133" s="611"/>
      <c r="P133" s="611"/>
      <c r="Q133" s="612"/>
      <c r="R133" s="613"/>
      <c r="S133" s="362"/>
      <c r="T133" s="414" t="s">
        <v>626</v>
      </c>
      <c r="U133" s="1297">
        <v>1</v>
      </c>
      <c r="V133" s="1297" t="s">
        <v>579</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398"/>
      <c r="E134" s="362"/>
      <c r="F134" s="362"/>
      <c r="G134" s="362"/>
      <c r="H134" s="362"/>
      <c r="I134" s="362"/>
      <c r="J134" s="362"/>
      <c r="K134" s="362"/>
      <c r="L134" s="362"/>
      <c r="M134" s="362"/>
      <c r="N134" s="362"/>
      <c r="O134" s="362"/>
      <c r="P134" s="362"/>
      <c r="Q134" s="362"/>
      <c r="R134" s="362"/>
      <c r="S134" s="317"/>
      <c r="T134" s="415"/>
      <c r="U134" s="1297"/>
      <c r="V134" s="1297"/>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399"/>
      <c r="E135" s="614"/>
      <c r="F135" s="615"/>
      <c r="G135" s="615"/>
      <c r="H135" s="616"/>
      <c r="I135" s="616"/>
      <c r="J135" s="616"/>
      <c r="K135" s="616"/>
      <c r="L135" s="616"/>
      <c r="M135" s="616"/>
      <c r="N135" s="616"/>
      <c r="O135" s="616"/>
      <c r="P135" s="616"/>
      <c r="Q135" s="616"/>
      <c r="R135" s="543"/>
      <c r="S135" s="617"/>
      <c r="T135" s="415"/>
      <c r="U135" s="1297"/>
      <c r="V135" s="1297"/>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2"/>
    </row>
    <row r="137" spans="1:83" s="983" customFormat="1" ht="11.25" customHeight="1">
      <c r="A137" s="983" t="s">
        <v>2064</v>
      </c>
    </row>
    <row r="139" spans="1:83" ht="45" customHeight="1">
      <c r="A139" s="301"/>
      <c r="B139" s="63"/>
      <c r="C139" s="235"/>
      <c r="E139" s="1558"/>
      <c r="F139" s="1170" t="s">
        <v>109</v>
      </c>
      <c r="G139" s="1561" t="s">
        <v>22</v>
      </c>
      <c r="H139" s="67"/>
      <c r="I139" s="363" t="s">
        <v>109</v>
      </c>
      <c r="J139" s="123" t="s">
        <v>2065</v>
      </c>
      <c r="K139" s="148" t="s">
        <v>550</v>
      </c>
      <c r="L139" s="1260" t="s">
        <v>550</v>
      </c>
      <c r="M139" s="1222"/>
      <c r="N139" s="148" t="s">
        <v>550</v>
      </c>
      <c r="O139" s="148" t="s">
        <v>550</v>
      </c>
      <c r="P139" s="148" t="s">
        <v>550</v>
      </c>
      <c r="Q139" s="364">
        <f>SUM(Q140:Q142)</f>
        <v>0</v>
      </c>
      <c r="R139" s="364">
        <f>IF(R136=0,0,(Q136/R136)*100)</f>
        <v>0</v>
      </c>
      <c r="S139" s="1234"/>
      <c r="T139" s="414" t="s">
        <v>626</v>
      </c>
    </row>
    <row r="140" spans="1:83" ht="11.25" customHeight="1">
      <c r="A140" s="301"/>
      <c r="B140" s="63"/>
      <c r="C140" s="235"/>
      <c r="E140" s="1559"/>
      <c r="F140" s="1170"/>
      <c r="G140" s="1561"/>
      <c r="H140" s="1159"/>
      <c r="I140" s="1442" t="s">
        <v>1191</v>
      </c>
      <c r="J140" s="1556"/>
      <c r="K140" s="1557"/>
      <c r="L140" s="105"/>
      <c r="M140" s="365" t="s">
        <v>109</v>
      </c>
      <c r="N140" s="248"/>
      <c r="O140" s="366"/>
      <c r="P140" s="367"/>
      <c r="Q140" s="366"/>
      <c r="R140" s="368">
        <v>0</v>
      </c>
      <c r="S140" s="1234"/>
      <c r="T140" s="414"/>
    </row>
    <row r="141" spans="1:83" ht="11.25" customHeight="1">
      <c r="A141" s="301"/>
      <c r="B141" s="63"/>
      <c r="C141" s="235"/>
      <c r="E141" s="1559"/>
      <c r="F141" s="1170"/>
      <c r="G141" s="1561"/>
      <c r="H141" s="1159"/>
      <c r="I141" s="1442"/>
      <c r="J141" s="1556"/>
      <c r="K141" s="1553"/>
      <c r="L141" s="369"/>
      <c r="M141" s="370"/>
      <c r="N141" s="52" t="s">
        <v>2066</v>
      </c>
      <c r="O141" s="52"/>
      <c r="P141" s="52"/>
      <c r="Q141" s="52"/>
      <c r="R141" s="352"/>
      <c r="S141" s="1234"/>
      <c r="T141" s="414"/>
    </row>
    <row r="142" spans="1:83" ht="11.25" customHeight="1">
      <c r="A142" s="301"/>
      <c r="B142" s="63"/>
      <c r="C142" s="235"/>
      <c r="E142" s="1560"/>
      <c r="F142" s="1170"/>
      <c r="G142" s="1562"/>
      <c r="H142" s="369" t="s">
        <v>22</v>
      </c>
      <c r="I142" s="370"/>
      <c r="J142" s="52" t="s">
        <v>2067</v>
      </c>
      <c r="K142" s="52"/>
      <c r="L142" s="52"/>
      <c r="M142" s="52"/>
      <c r="N142" s="52"/>
      <c r="O142" s="52"/>
      <c r="P142" s="52"/>
      <c r="Q142" s="52"/>
      <c r="R142" s="352"/>
      <c r="S142" s="1234"/>
      <c r="T142" s="414"/>
    </row>
    <row r="147" spans="1:43" ht="11.25" customHeight="1">
      <c r="A147" s="301"/>
      <c r="B147" s="63"/>
      <c r="C147" s="235"/>
      <c r="E147" s="989"/>
      <c r="F147" s="989"/>
      <c r="G147" s="989"/>
      <c r="H147" s="1159"/>
      <c r="I147" s="1442" t="s">
        <v>1191</v>
      </c>
      <c r="J147" s="1556"/>
      <c r="K147" s="1557"/>
      <c r="L147" s="105"/>
      <c r="M147" s="365" t="s">
        <v>109</v>
      </c>
      <c r="N147" s="248"/>
      <c r="O147" s="366"/>
      <c r="P147" s="367"/>
      <c r="Q147" s="366"/>
      <c r="R147" s="368">
        <v>0</v>
      </c>
      <c r="T147" s="414"/>
    </row>
    <row r="148" spans="1:43" ht="11.25" customHeight="1">
      <c r="A148" s="301"/>
      <c r="B148" s="63"/>
      <c r="C148" s="235"/>
      <c r="E148" s="989"/>
      <c r="F148" s="989"/>
      <c r="G148" s="989"/>
      <c r="H148" s="1159"/>
      <c r="I148" s="1442"/>
      <c r="J148" s="1556"/>
      <c r="K148" s="1553"/>
      <c r="L148" s="369"/>
      <c r="M148" s="370"/>
      <c r="N148" s="52" t="s">
        <v>2066</v>
      </c>
      <c r="O148" s="52"/>
      <c r="P148" s="52"/>
      <c r="Q148" s="52"/>
      <c r="R148" s="352"/>
      <c r="T148" s="414"/>
    </row>
    <row r="150" spans="1:43" ht="11.25" customHeight="1">
      <c r="A150" s="301"/>
      <c r="B150" s="63"/>
      <c r="C150" s="235"/>
      <c r="E150" s="993"/>
      <c r="H150" s="210"/>
      <c r="I150" s="989"/>
      <c r="J150" s="990"/>
      <c r="K150" s="990"/>
      <c r="L150" s="105"/>
      <c r="M150" s="365" t="s">
        <v>109</v>
      </c>
      <c r="N150" s="248"/>
      <c r="O150" s="366"/>
      <c r="P150" s="367"/>
      <c r="Q150" s="366"/>
      <c r="R150" s="368">
        <v>0</v>
      </c>
      <c r="T150" s="414"/>
    </row>
    <row r="152" spans="1:43" s="983" customFormat="1" ht="17.25" customHeight="1">
      <c r="A152" s="983" t="s">
        <v>2068</v>
      </c>
    </row>
    <row r="153" spans="1:43" ht="17.25" customHeight="1">
      <c r="G153" s="994"/>
      <c r="H153" s="994"/>
      <c r="I153" s="994"/>
    </row>
    <row r="154" spans="1:43" s="35" customFormat="1" ht="17.25" customHeight="1">
      <c r="A154" s="188"/>
      <c r="C154" s="77"/>
      <c r="D154" s="1552"/>
      <c r="E154" s="1187"/>
      <c r="F154" s="1200"/>
      <c r="G154" s="1554"/>
      <c r="H154" s="1552"/>
      <c r="I154" s="1552">
        <v>1</v>
      </c>
      <c r="J154" s="1565"/>
      <c r="K154" s="1237" t="s">
        <v>62</v>
      </c>
      <c r="L154" s="1170"/>
      <c r="M154" s="1170" t="s">
        <v>109</v>
      </c>
      <c r="N154" s="1563" t="str">
        <f>IF(Z154="","",INDEX(TERRITORY_MR_LIST,MATCH(Z154,TERRITORY_LIST_ID,0)))</f>
        <v/>
      </c>
      <c r="O154" s="1237" t="s">
        <v>62</v>
      </c>
      <c r="P154" s="1170"/>
      <c r="Q154" s="1170" t="s">
        <v>109</v>
      </c>
      <c r="R154" s="1553" t="s">
        <v>22</v>
      </c>
      <c r="S154" s="1169" t="s">
        <v>62</v>
      </c>
      <c r="T154" s="43"/>
      <c r="U154" s="43" t="s">
        <v>109</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552"/>
      <c r="E155" s="1187"/>
      <c r="F155" s="1201"/>
      <c r="G155" s="1554"/>
      <c r="H155" s="1552"/>
      <c r="I155" s="1552"/>
      <c r="J155" s="1565"/>
      <c r="K155" s="1238"/>
      <c r="L155" s="1170"/>
      <c r="M155" s="1170"/>
      <c r="N155" s="1563"/>
      <c r="O155" s="1238"/>
      <c r="P155" s="1170"/>
      <c r="Q155" s="1170"/>
      <c r="R155" s="1553"/>
      <c r="S155" s="1169"/>
      <c r="T155" s="185"/>
      <c r="U155" s="186"/>
      <c r="V155" s="186" t="s">
        <v>420</v>
      </c>
      <c r="W155" s="187"/>
      <c r="Y155" s="17"/>
      <c r="Z155" s="17"/>
      <c r="AA155" s="17"/>
      <c r="AB155" s="17"/>
      <c r="AC155" s="17"/>
      <c r="AD155" s="17"/>
      <c r="AE155" s="17"/>
      <c r="AF155" s="17"/>
      <c r="AG155" s="17"/>
      <c r="AH155" s="17"/>
      <c r="AI155" s="17"/>
      <c r="AJ155" s="17"/>
      <c r="AK155" s="17"/>
    </row>
    <row r="156" spans="1:43" s="35" customFormat="1" ht="17.25" customHeight="1">
      <c r="A156" s="188"/>
      <c r="D156" s="1199"/>
      <c r="E156" s="1188"/>
      <c r="F156" s="1201"/>
      <c r="G156" s="1555"/>
      <c r="H156" s="1199"/>
      <c r="I156" s="1199"/>
      <c r="J156" s="1566"/>
      <c r="K156" s="1238"/>
      <c r="L156" s="1199"/>
      <c r="M156" s="1199"/>
      <c r="N156" s="1564"/>
      <c r="O156" s="1174"/>
      <c r="P156" s="185"/>
      <c r="Q156" s="186"/>
      <c r="R156" s="186" t="s">
        <v>421</v>
      </c>
      <c r="S156" s="995"/>
      <c r="T156" s="995"/>
      <c r="U156" s="995"/>
      <c r="V156" s="995"/>
      <c r="W156" s="187"/>
      <c r="Y156" s="17"/>
      <c r="Z156" s="17"/>
      <c r="AA156" s="17"/>
      <c r="AB156" s="17"/>
      <c r="AC156" s="17"/>
      <c r="AD156" s="17"/>
      <c r="AE156" s="17"/>
      <c r="AF156" s="17"/>
      <c r="AG156" s="17"/>
      <c r="AH156" s="17"/>
      <c r="AI156" s="17"/>
      <c r="AJ156" s="17"/>
      <c r="AK156" s="17"/>
    </row>
    <row r="157" spans="1:43" s="35" customFormat="1" ht="17.25" customHeight="1">
      <c r="A157" s="188"/>
      <c r="D157" s="1199"/>
      <c r="E157" s="1188"/>
      <c r="F157" s="1201"/>
      <c r="G157" s="1555"/>
      <c r="H157" s="1199"/>
      <c r="I157" s="1199"/>
      <c r="J157" s="1566"/>
      <c r="K157" s="1174"/>
      <c r="L157" s="185"/>
      <c r="M157" s="186"/>
      <c r="N157" s="186" t="s">
        <v>422</v>
      </c>
      <c r="O157" s="186"/>
      <c r="P157" s="186"/>
      <c r="Q157" s="186"/>
      <c r="R157" s="186"/>
      <c r="S157" s="995"/>
      <c r="T157" s="995"/>
      <c r="U157" s="995"/>
      <c r="V157" s="995"/>
      <c r="W157" s="187"/>
      <c r="Y157" s="17"/>
      <c r="Z157" s="17"/>
      <c r="AA157" s="17"/>
      <c r="AB157" s="17"/>
      <c r="AC157" s="17"/>
      <c r="AD157" s="17"/>
      <c r="AE157" s="17"/>
      <c r="AF157" s="17"/>
      <c r="AG157" s="17"/>
      <c r="AH157" s="17"/>
      <c r="AI157" s="17"/>
      <c r="AJ157" s="17"/>
      <c r="AK157" s="17"/>
    </row>
    <row r="158" spans="1:43" s="35" customFormat="1" ht="17.25" customHeight="1">
      <c r="A158" s="188"/>
      <c r="D158" s="1199"/>
      <c r="E158" s="1188"/>
      <c r="F158" s="1202"/>
      <c r="G158" s="1555"/>
      <c r="H158" s="185"/>
      <c r="I158" s="186"/>
      <c r="J158" s="186" t="s">
        <v>450</v>
      </c>
      <c r="K158" s="186"/>
      <c r="L158" s="186"/>
      <c r="M158" s="186"/>
      <c r="N158" s="186"/>
      <c r="O158" s="186"/>
      <c r="P158" s="186"/>
      <c r="Q158" s="186"/>
      <c r="R158" s="186"/>
      <c r="S158" s="995"/>
      <c r="T158" s="995"/>
      <c r="U158" s="995"/>
      <c r="V158" s="995"/>
      <c r="W158" s="187"/>
      <c r="Y158" s="17"/>
      <c r="Z158" s="17"/>
      <c r="AA158" s="17"/>
      <c r="AB158" s="17"/>
      <c r="AC158" s="17"/>
      <c r="AD158" s="17"/>
      <c r="AE158" s="17"/>
      <c r="AF158" s="17"/>
      <c r="AG158" s="17"/>
      <c r="AH158" s="17"/>
      <c r="AI158" s="17"/>
      <c r="AJ158" s="17"/>
      <c r="AK158" s="17"/>
    </row>
    <row r="159" spans="1:43" ht="17.25" customHeight="1">
      <c r="G159" s="994"/>
      <c r="H159" s="994"/>
      <c r="I159" s="994"/>
    </row>
    <row r="160" spans="1:43" s="35" customFormat="1" ht="17.25" customHeight="1">
      <c r="A160" s="188"/>
      <c r="C160" s="77"/>
      <c r="D160" s="989"/>
      <c r="E160" s="996"/>
      <c r="F160" s="976"/>
      <c r="G160" s="997"/>
      <c r="H160" s="1552"/>
      <c r="I160" s="1552">
        <v>1</v>
      </c>
      <c r="J160" s="1565"/>
      <c r="K160" s="1237" t="s">
        <v>62</v>
      </c>
      <c r="L160" s="1170"/>
      <c r="M160" s="1170" t="s">
        <v>109</v>
      </c>
      <c r="N160" s="1563" t="str">
        <f>IF(Z160="","",INDEX(TERRITORY_MR_LIST,MATCH(Z160,TERRITORY_LIST_ID,0)))</f>
        <v/>
      </c>
      <c r="O160" s="1237" t="s">
        <v>62</v>
      </c>
      <c r="P160" s="1170"/>
      <c r="Q160" s="1170" t="s">
        <v>109</v>
      </c>
      <c r="R160" s="1553" t="s">
        <v>22</v>
      </c>
      <c r="S160" s="1169" t="s">
        <v>62</v>
      </c>
      <c r="T160" s="43"/>
      <c r="U160" s="43" t="s">
        <v>109</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89"/>
      <c r="E161" s="996"/>
      <c r="F161" s="976"/>
      <c r="G161" s="997"/>
      <c r="H161" s="1552"/>
      <c r="I161" s="1552"/>
      <c r="J161" s="1565"/>
      <c r="K161" s="1238"/>
      <c r="L161" s="1170"/>
      <c r="M161" s="1170"/>
      <c r="N161" s="1563"/>
      <c r="O161" s="1238"/>
      <c r="P161" s="1170"/>
      <c r="Q161" s="1170"/>
      <c r="R161" s="1553"/>
      <c r="S161" s="1169"/>
      <c r="T161" s="185"/>
      <c r="U161" s="186"/>
      <c r="V161" s="186" t="s">
        <v>420</v>
      </c>
      <c r="W161" s="187"/>
      <c r="Y161" s="17"/>
      <c r="Z161" s="17"/>
      <c r="AA161" s="17"/>
      <c r="AB161" s="17"/>
      <c r="AC161" s="17"/>
      <c r="AD161" s="17"/>
      <c r="AE161" s="17"/>
      <c r="AF161" s="17"/>
      <c r="AG161" s="17"/>
      <c r="AH161" s="17"/>
      <c r="AI161" s="17"/>
      <c r="AJ161" s="17"/>
      <c r="AK161" s="17"/>
    </row>
    <row r="162" spans="1:43" s="35" customFormat="1" ht="17.25" customHeight="1">
      <c r="A162" s="188"/>
      <c r="D162" s="989"/>
      <c r="E162" s="996"/>
      <c r="F162" s="976"/>
      <c r="G162" s="997"/>
      <c r="H162" s="1199"/>
      <c r="I162" s="1199"/>
      <c r="J162" s="1566"/>
      <c r="K162" s="1238"/>
      <c r="L162" s="1199"/>
      <c r="M162" s="1199"/>
      <c r="N162" s="1564"/>
      <c r="O162" s="1174"/>
      <c r="P162" s="185"/>
      <c r="Q162" s="186"/>
      <c r="R162" s="186" t="s">
        <v>421</v>
      </c>
      <c r="S162" s="995"/>
      <c r="T162" s="995"/>
      <c r="U162" s="995"/>
      <c r="V162" s="995"/>
      <c r="W162" s="187"/>
      <c r="Y162" s="17"/>
      <c r="Z162" s="17"/>
      <c r="AA162" s="17"/>
      <c r="AB162" s="17"/>
      <c r="AC162" s="17"/>
      <c r="AD162" s="17"/>
      <c r="AE162" s="17"/>
      <c r="AF162" s="17"/>
      <c r="AG162" s="17"/>
      <c r="AH162" s="17"/>
      <c r="AI162" s="17"/>
      <c r="AJ162" s="17"/>
      <c r="AK162" s="17"/>
    </row>
    <row r="163" spans="1:43" s="35" customFormat="1" ht="17.25" customHeight="1">
      <c r="A163" s="188"/>
      <c r="D163" s="989"/>
      <c r="E163" s="996"/>
      <c r="F163" s="976"/>
      <c r="G163" s="997"/>
      <c r="H163" s="1199"/>
      <c r="I163" s="1199"/>
      <c r="J163" s="1566"/>
      <c r="K163" s="1174"/>
      <c r="L163" s="185"/>
      <c r="M163" s="186"/>
      <c r="N163" s="186" t="s">
        <v>422</v>
      </c>
      <c r="O163" s="186"/>
      <c r="P163" s="186"/>
      <c r="Q163" s="186"/>
      <c r="R163" s="186"/>
      <c r="S163" s="995"/>
      <c r="T163" s="995"/>
      <c r="U163" s="995"/>
      <c r="V163" s="995"/>
      <c r="W163" s="187"/>
      <c r="Y163" s="17"/>
      <c r="Z163" s="17"/>
      <c r="AA163" s="17"/>
      <c r="AB163" s="17"/>
      <c r="AC163" s="17"/>
      <c r="AD163" s="17"/>
      <c r="AE163" s="17"/>
      <c r="AF163" s="17"/>
      <c r="AG163" s="17"/>
      <c r="AH163" s="17"/>
      <c r="AI163" s="17"/>
      <c r="AJ163" s="17"/>
      <c r="AK163" s="17"/>
    </row>
    <row r="164" spans="1:43" ht="17.25" customHeight="1">
      <c r="G164" s="994"/>
      <c r="H164" s="994"/>
      <c r="I164" s="994"/>
    </row>
    <row r="165" spans="1:43" s="35" customFormat="1" ht="17.25" customHeight="1">
      <c r="A165" s="188"/>
      <c r="C165" s="77"/>
      <c r="D165" s="989"/>
      <c r="E165" s="996"/>
      <c r="F165" s="976"/>
      <c r="G165" s="997"/>
      <c r="H165" s="989"/>
      <c r="I165" s="989"/>
      <c r="J165" s="998"/>
      <c r="K165" s="968"/>
      <c r="L165" s="1170"/>
      <c r="M165" s="1170" t="s">
        <v>109</v>
      </c>
      <c r="N165" s="1563" t="str">
        <f>IF(Z165="","",INDEX(TERRITORY_MR_LIST,MATCH(Z165,TERRITORY_LIST_ID,0)))</f>
        <v/>
      </c>
      <c r="O165" s="1237" t="s">
        <v>62</v>
      </c>
      <c r="P165" s="1170"/>
      <c r="Q165" s="1170" t="s">
        <v>109</v>
      </c>
      <c r="R165" s="1553" t="s">
        <v>22</v>
      </c>
      <c r="S165" s="1169" t="s">
        <v>62</v>
      </c>
      <c r="T165" s="43"/>
      <c r="U165" s="43" t="s">
        <v>109</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89"/>
      <c r="E166" s="996"/>
      <c r="F166" s="976"/>
      <c r="G166" s="997"/>
      <c r="H166" s="989"/>
      <c r="I166" s="989"/>
      <c r="J166" s="998"/>
      <c r="K166" s="968"/>
      <c r="L166" s="1170"/>
      <c r="M166" s="1170"/>
      <c r="N166" s="1563"/>
      <c r="O166" s="1238"/>
      <c r="P166" s="1170"/>
      <c r="Q166" s="1170"/>
      <c r="R166" s="1553"/>
      <c r="S166" s="1169"/>
      <c r="T166" s="185"/>
      <c r="U166" s="186"/>
      <c r="V166" s="186" t="s">
        <v>420</v>
      </c>
      <c r="W166" s="187"/>
      <c r="Y166" s="17"/>
      <c r="Z166" s="17"/>
      <c r="AA166" s="17"/>
      <c r="AB166" s="17"/>
      <c r="AC166" s="17"/>
      <c r="AD166" s="17"/>
      <c r="AE166" s="17"/>
      <c r="AF166" s="17"/>
      <c r="AG166" s="17"/>
      <c r="AH166" s="17"/>
      <c r="AI166" s="17"/>
      <c r="AJ166" s="17"/>
      <c r="AK166" s="17"/>
    </row>
    <row r="167" spans="1:43" s="35" customFormat="1" ht="17.25" customHeight="1">
      <c r="A167" s="188"/>
      <c r="D167" s="989"/>
      <c r="E167" s="996"/>
      <c r="F167" s="976"/>
      <c r="G167" s="997"/>
      <c r="H167" s="989"/>
      <c r="I167" s="989"/>
      <c r="J167" s="998"/>
      <c r="K167" s="968"/>
      <c r="L167" s="1199"/>
      <c r="M167" s="1199"/>
      <c r="N167" s="1564"/>
      <c r="O167" s="1174"/>
      <c r="P167" s="185"/>
      <c r="Q167" s="186"/>
      <c r="R167" s="186" t="s">
        <v>421</v>
      </c>
      <c r="S167" s="995"/>
      <c r="T167" s="995"/>
      <c r="U167" s="995"/>
      <c r="V167" s="995"/>
      <c r="W167" s="187"/>
      <c r="Y167" s="17"/>
      <c r="Z167" s="17"/>
      <c r="AA167" s="17"/>
      <c r="AB167" s="17"/>
      <c r="AC167" s="17"/>
      <c r="AD167" s="17"/>
      <c r="AE167" s="17"/>
      <c r="AF167" s="17"/>
      <c r="AG167" s="17"/>
      <c r="AH167" s="17"/>
      <c r="AI167" s="17"/>
      <c r="AJ167" s="17"/>
      <c r="AK167" s="17"/>
    </row>
    <row r="168" spans="1:43" ht="17.25" customHeight="1">
      <c r="G168" s="994"/>
      <c r="H168" s="994"/>
      <c r="I168" s="994"/>
    </row>
    <row r="169" spans="1:43" s="35" customFormat="1" ht="17.25" customHeight="1">
      <c r="A169" s="188"/>
      <c r="C169" s="77"/>
      <c r="D169" s="989"/>
      <c r="E169" s="996"/>
      <c r="F169" s="976"/>
      <c r="G169" s="997"/>
      <c r="H169" s="989"/>
      <c r="I169" s="989"/>
      <c r="J169" s="998"/>
      <c r="K169" s="968"/>
      <c r="L169" s="870"/>
      <c r="M169" s="870"/>
      <c r="N169" s="1079"/>
      <c r="O169" s="977"/>
      <c r="P169" s="1170"/>
      <c r="Q169" s="1170" t="s">
        <v>109</v>
      </c>
      <c r="R169" s="1553" t="s">
        <v>22</v>
      </c>
      <c r="S169" s="1169" t="s">
        <v>62</v>
      </c>
      <c r="T169" s="43"/>
      <c r="U169" s="43" t="s">
        <v>109</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89"/>
      <c r="E170" s="996"/>
      <c r="F170" s="976"/>
      <c r="G170" s="997"/>
      <c r="H170" s="989"/>
      <c r="I170" s="989"/>
      <c r="J170" s="998"/>
      <c r="K170" s="968"/>
      <c r="L170" s="870"/>
      <c r="M170" s="870"/>
      <c r="N170" s="1079"/>
      <c r="O170" s="977"/>
      <c r="P170" s="1170"/>
      <c r="Q170" s="1170"/>
      <c r="R170" s="1553"/>
      <c r="S170" s="1169"/>
      <c r="T170" s="185"/>
      <c r="U170" s="186"/>
      <c r="V170" s="186" t="s">
        <v>420</v>
      </c>
      <c r="W170" s="187"/>
      <c r="Y170" s="17"/>
      <c r="Z170" s="17"/>
      <c r="AA170" s="17"/>
      <c r="AB170" s="17"/>
      <c r="AC170" s="17"/>
      <c r="AD170" s="17"/>
      <c r="AE170" s="17"/>
      <c r="AF170" s="17"/>
      <c r="AG170" s="17"/>
      <c r="AH170" s="17"/>
      <c r="AI170" s="17"/>
      <c r="AJ170" s="17"/>
      <c r="AK170" s="17"/>
    </row>
    <row r="171" spans="1:43" ht="17.25" customHeight="1">
      <c r="G171" s="994"/>
      <c r="H171" s="994"/>
      <c r="I171" s="994"/>
    </row>
    <row r="172" spans="1:43" s="35" customFormat="1" ht="17.25" customHeight="1">
      <c r="A172" s="188"/>
      <c r="C172" s="77"/>
      <c r="D172" s="989"/>
      <c r="E172" s="996"/>
      <c r="F172" s="976"/>
      <c r="G172" s="997"/>
      <c r="H172" s="870"/>
      <c r="I172" s="870"/>
      <c r="J172" s="965"/>
      <c r="K172" s="997"/>
      <c r="L172" s="870"/>
      <c r="M172" s="870"/>
      <c r="N172" s="997"/>
      <c r="O172" s="997"/>
      <c r="P172" s="870"/>
      <c r="Q172" s="870"/>
      <c r="R172" s="966"/>
      <c r="S172" s="997"/>
      <c r="T172" s="43"/>
      <c r="U172" s="43" t="s">
        <v>109</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3" customFormat="1" ht="17.25" customHeight="1">
      <c r="A174" s="983" t="s">
        <v>2069</v>
      </c>
    </row>
    <row r="175" spans="1:43" ht="17.25" customHeight="1">
      <c r="G175" s="994"/>
      <c r="H175" s="994"/>
      <c r="I175" s="994"/>
    </row>
    <row r="176" spans="1:43" s="35" customFormat="1" ht="17.25" customHeight="1">
      <c r="A176" s="188"/>
      <c r="C176" s="77"/>
      <c r="D176" s="1552"/>
      <c r="E176" s="1187"/>
      <c r="F176" s="1200"/>
      <c r="G176" s="1554"/>
      <c r="H176" s="1552"/>
      <c r="I176" s="1552">
        <v>1</v>
      </c>
      <c r="J176" s="1565"/>
      <c r="K176" s="1237" t="s">
        <v>62</v>
      </c>
      <c r="L176" s="1170"/>
      <c r="M176" s="1170" t="s">
        <v>109</v>
      </c>
      <c r="N176" s="1563" t="str">
        <f>IF(Z176="","",INDEX(TERRITORY_MR_LIST,MATCH(Z176,TERRITORY_LIST_ID,0)))</f>
        <v/>
      </c>
      <c r="O176" s="1237" t="s">
        <v>62</v>
      </c>
      <c r="P176" s="1170"/>
      <c r="Q176" s="1170" t="s">
        <v>109</v>
      </c>
      <c r="R176" s="1553" t="s">
        <v>22</v>
      </c>
      <c r="S176" s="1414" t="s">
        <v>19</v>
      </c>
      <c r="T176" s="816"/>
      <c r="U176" s="816" t="s">
        <v>109</v>
      </c>
      <c r="V176" s="809"/>
      <c r="W176" s="1565"/>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552"/>
      <c r="E177" s="1187"/>
      <c r="F177" s="1201"/>
      <c r="G177" s="1554"/>
      <c r="H177" s="1552"/>
      <c r="I177" s="1552"/>
      <c r="J177" s="1565"/>
      <c r="K177" s="1238"/>
      <c r="L177" s="1170"/>
      <c r="M177" s="1170"/>
      <c r="N177" s="1563"/>
      <c r="O177" s="1238"/>
      <c r="P177" s="1170"/>
      <c r="Q177" s="1170"/>
      <c r="R177" s="1553"/>
      <c r="S177" s="1414"/>
      <c r="T177" s="810"/>
      <c r="U177" s="811"/>
      <c r="V177" s="811"/>
      <c r="W177" s="1565"/>
      <c r="Y177" s="17"/>
      <c r="Z177" s="17"/>
      <c r="AA177" s="17"/>
      <c r="AB177" s="17"/>
      <c r="AC177" s="17"/>
      <c r="AD177" s="17"/>
      <c r="AE177" s="17"/>
      <c r="AF177" s="17"/>
      <c r="AG177" s="17"/>
      <c r="AH177" s="17"/>
      <c r="AI177" s="17"/>
      <c r="AJ177" s="17"/>
      <c r="AK177" s="17"/>
    </row>
    <row r="178" spans="1:43" s="35" customFormat="1" ht="17.25" customHeight="1">
      <c r="A178" s="188"/>
      <c r="D178" s="1199"/>
      <c r="E178" s="1188"/>
      <c r="F178" s="1201"/>
      <c r="G178" s="1555"/>
      <c r="H178" s="1199"/>
      <c r="I178" s="1199"/>
      <c r="J178" s="1566"/>
      <c r="K178" s="1238"/>
      <c r="L178" s="1199"/>
      <c r="M178" s="1199"/>
      <c r="N178" s="1564"/>
      <c r="O178" s="1174"/>
      <c r="P178" s="185"/>
      <c r="Q178" s="186"/>
      <c r="R178" s="186" t="s">
        <v>421</v>
      </c>
      <c r="S178" s="995"/>
      <c r="T178" s="995"/>
      <c r="U178" s="995"/>
      <c r="V178" s="995"/>
      <c r="W178" s="808"/>
      <c r="Y178" s="17"/>
      <c r="Z178" s="17"/>
      <c r="AA178" s="17"/>
      <c r="AB178" s="17"/>
      <c r="AC178" s="17"/>
      <c r="AD178" s="17"/>
      <c r="AE178" s="17"/>
      <c r="AF178" s="17"/>
      <c r="AG178" s="17"/>
      <c r="AH178" s="17"/>
      <c r="AI178" s="17"/>
      <c r="AJ178" s="17"/>
      <c r="AK178" s="17"/>
    </row>
    <row r="179" spans="1:43" s="35" customFormat="1" ht="17.25" customHeight="1">
      <c r="A179" s="188"/>
      <c r="D179" s="1199"/>
      <c r="E179" s="1188"/>
      <c r="F179" s="1201"/>
      <c r="G179" s="1555"/>
      <c r="H179" s="1199"/>
      <c r="I179" s="1199"/>
      <c r="J179" s="1566"/>
      <c r="K179" s="1174"/>
      <c r="L179" s="185"/>
      <c r="M179" s="186"/>
      <c r="N179" s="186" t="s">
        <v>422</v>
      </c>
      <c r="O179" s="186"/>
      <c r="P179" s="186"/>
      <c r="Q179" s="186"/>
      <c r="R179" s="186"/>
      <c r="S179" s="995"/>
      <c r="T179" s="995"/>
      <c r="U179" s="995"/>
      <c r="V179" s="995"/>
      <c r="W179" s="187"/>
      <c r="Y179" s="17"/>
      <c r="Z179" s="17"/>
      <c r="AA179" s="17"/>
      <c r="AB179" s="17"/>
      <c r="AC179" s="17"/>
      <c r="AD179" s="17"/>
      <c r="AE179" s="17"/>
      <c r="AF179" s="17"/>
      <c r="AG179" s="17"/>
      <c r="AH179" s="17"/>
      <c r="AI179" s="17"/>
      <c r="AJ179" s="17"/>
      <c r="AK179" s="17"/>
    </row>
    <row r="180" spans="1:43" s="35" customFormat="1" ht="17.25" customHeight="1">
      <c r="A180" s="188"/>
      <c r="D180" s="1199"/>
      <c r="E180" s="1188"/>
      <c r="F180" s="1202"/>
      <c r="G180" s="1555"/>
      <c r="H180" s="185"/>
      <c r="I180" s="186"/>
      <c r="J180" s="186" t="s">
        <v>450</v>
      </c>
      <c r="K180" s="186"/>
      <c r="L180" s="186"/>
      <c r="M180" s="186"/>
      <c r="N180" s="186"/>
      <c r="O180" s="186"/>
      <c r="P180" s="186"/>
      <c r="Q180" s="186"/>
      <c r="R180" s="186"/>
      <c r="S180" s="995"/>
      <c r="T180" s="995"/>
      <c r="U180" s="995"/>
      <c r="V180" s="995"/>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89"/>
      <c r="E182" s="996"/>
      <c r="F182" s="976"/>
      <c r="G182" s="997"/>
      <c r="H182" s="1552"/>
      <c r="I182" s="1552">
        <v>1</v>
      </c>
      <c r="J182" s="1565"/>
      <c r="K182" s="1237" t="s">
        <v>62</v>
      </c>
      <c r="L182" s="1170"/>
      <c r="M182" s="1170" t="s">
        <v>109</v>
      </c>
      <c r="N182" s="1563" t="str">
        <f>IF(Z182="","",INDEX(TERRITORY_MR_LIST,MATCH(Z182,TERRITORY_LIST_ID,0)))</f>
        <v/>
      </c>
      <c r="O182" s="1237" t="s">
        <v>62</v>
      </c>
      <c r="P182" s="1170"/>
      <c r="Q182" s="1170" t="s">
        <v>109</v>
      </c>
      <c r="R182" s="1553" t="s">
        <v>22</v>
      </c>
      <c r="S182" s="1414" t="s">
        <v>19</v>
      </c>
      <c r="T182" s="816"/>
      <c r="U182" s="816" t="s">
        <v>109</v>
      </c>
      <c r="V182" s="809"/>
      <c r="W182" s="1565"/>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89"/>
      <c r="E183" s="996"/>
      <c r="F183" s="976"/>
      <c r="G183" s="997"/>
      <c r="H183" s="1552"/>
      <c r="I183" s="1552"/>
      <c r="J183" s="1565"/>
      <c r="K183" s="1238"/>
      <c r="L183" s="1170"/>
      <c r="M183" s="1170"/>
      <c r="N183" s="1563"/>
      <c r="O183" s="1238"/>
      <c r="P183" s="1170"/>
      <c r="Q183" s="1170"/>
      <c r="R183" s="1553"/>
      <c r="S183" s="1414"/>
      <c r="T183" s="810"/>
      <c r="U183" s="811"/>
      <c r="V183" s="811"/>
      <c r="W183" s="1565"/>
      <c r="Y183" s="17"/>
      <c r="Z183" s="17"/>
      <c r="AA183" s="17"/>
      <c r="AB183" s="17"/>
      <c r="AC183" s="17"/>
      <c r="AD183" s="17"/>
      <c r="AE183" s="17"/>
      <c r="AF183" s="17"/>
      <c r="AG183" s="17"/>
      <c r="AH183" s="17"/>
      <c r="AI183" s="17"/>
      <c r="AJ183" s="17"/>
      <c r="AK183" s="17"/>
    </row>
    <row r="184" spans="1:43" s="35" customFormat="1" ht="17.25" customHeight="1">
      <c r="A184" s="188"/>
      <c r="D184" s="989"/>
      <c r="E184" s="996"/>
      <c r="F184" s="976"/>
      <c r="G184" s="997"/>
      <c r="H184" s="1199"/>
      <c r="I184" s="1199"/>
      <c r="J184" s="1566"/>
      <c r="K184" s="1238"/>
      <c r="L184" s="1199"/>
      <c r="M184" s="1199"/>
      <c r="N184" s="1564"/>
      <c r="O184" s="1174"/>
      <c r="P184" s="185"/>
      <c r="Q184" s="186"/>
      <c r="R184" s="186" t="s">
        <v>421</v>
      </c>
      <c r="S184" s="995"/>
      <c r="T184" s="995"/>
      <c r="U184" s="995"/>
      <c r="V184" s="995"/>
      <c r="W184" s="808"/>
      <c r="Y184" s="17"/>
      <c r="Z184" s="17"/>
      <c r="AA184" s="17"/>
      <c r="AB184" s="17"/>
      <c r="AC184" s="17"/>
      <c r="AD184" s="17"/>
      <c r="AE184" s="17"/>
      <c r="AF184" s="17"/>
      <c r="AG184" s="17"/>
      <c r="AH184" s="17"/>
      <c r="AI184" s="17"/>
      <c r="AJ184" s="17"/>
      <c r="AK184" s="17"/>
    </row>
    <row r="185" spans="1:43" s="35" customFormat="1" ht="17.25" customHeight="1">
      <c r="A185" s="188"/>
      <c r="D185" s="989"/>
      <c r="E185" s="996"/>
      <c r="F185" s="976"/>
      <c r="G185" s="997"/>
      <c r="H185" s="1199"/>
      <c r="I185" s="1199"/>
      <c r="J185" s="1566"/>
      <c r="K185" s="1174"/>
      <c r="L185" s="185"/>
      <c r="M185" s="186"/>
      <c r="N185" s="186" t="s">
        <v>422</v>
      </c>
      <c r="O185" s="186"/>
      <c r="P185" s="186"/>
      <c r="Q185" s="186"/>
      <c r="R185" s="186"/>
      <c r="S185" s="995"/>
      <c r="T185" s="995"/>
      <c r="U185" s="995"/>
      <c r="V185" s="995"/>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89"/>
      <c r="E187" s="996"/>
      <c r="F187" s="976"/>
      <c r="G187" s="997"/>
      <c r="H187" s="989"/>
      <c r="I187" s="989"/>
      <c r="J187" s="999"/>
      <c r="K187" s="997"/>
      <c r="L187" s="1170"/>
      <c r="M187" s="1170" t="s">
        <v>109</v>
      </c>
      <c r="N187" s="1563" t="str">
        <f>IF(Z187="","",INDEX(TERRITORY_MR_LIST,MATCH(Z187,TERRITORY_LIST_ID,0)))</f>
        <v/>
      </c>
      <c r="O187" s="1237" t="s">
        <v>62</v>
      </c>
      <c r="P187" s="1170"/>
      <c r="Q187" s="1170" t="s">
        <v>109</v>
      </c>
      <c r="R187" s="1553" t="s">
        <v>22</v>
      </c>
      <c r="S187" s="1414" t="s">
        <v>19</v>
      </c>
      <c r="T187" s="816"/>
      <c r="U187" s="816" t="s">
        <v>109</v>
      </c>
      <c r="V187" s="809"/>
      <c r="W187" s="1565"/>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89"/>
      <c r="E188" s="996"/>
      <c r="F188" s="976"/>
      <c r="G188" s="997"/>
      <c r="H188" s="989"/>
      <c r="I188" s="989"/>
      <c r="J188" s="999"/>
      <c r="K188" s="997"/>
      <c r="L188" s="1170"/>
      <c r="M188" s="1170"/>
      <c r="N188" s="1563"/>
      <c r="O188" s="1238"/>
      <c r="P188" s="1170"/>
      <c r="Q188" s="1170"/>
      <c r="R188" s="1553"/>
      <c r="S188" s="1414"/>
      <c r="T188" s="810"/>
      <c r="U188" s="811"/>
      <c r="V188" s="811"/>
      <c r="W188" s="1565"/>
      <c r="Y188" s="17"/>
      <c r="Z188" s="17"/>
      <c r="AA188" s="17"/>
      <c r="AB188" s="17"/>
      <c r="AC188" s="17"/>
      <c r="AD188" s="17"/>
      <c r="AE188" s="17"/>
      <c r="AF188" s="17"/>
      <c r="AG188" s="17"/>
      <c r="AH188" s="17"/>
      <c r="AI188" s="17"/>
      <c r="AJ188" s="17"/>
      <c r="AK188" s="17"/>
    </row>
    <row r="189" spans="1:43" s="35" customFormat="1" ht="17.25" customHeight="1">
      <c r="A189" s="188"/>
      <c r="D189" s="989"/>
      <c r="E189" s="996"/>
      <c r="F189" s="976"/>
      <c r="G189" s="997"/>
      <c r="H189" s="989"/>
      <c r="I189" s="989"/>
      <c r="J189" s="999"/>
      <c r="K189" s="997"/>
      <c r="L189" s="1199"/>
      <c r="M189" s="1199"/>
      <c r="N189" s="1564"/>
      <c r="O189" s="1174"/>
      <c r="P189" s="185"/>
      <c r="Q189" s="186"/>
      <c r="R189" s="186" t="s">
        <v>421</v>
      </c>
      <c r="S189" s="995"/>
      <c r="T189" s="995"/>
      <c r="U189" s="995"/>
      <c r="V189" s="995"/>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89"/>
      <c r="E191" s="996"/>
      <c r="F191" s="976"/>
      <c r="G191" s="997"/>
      <c r="H191" s="989"/>
      <c r="I191" s="989"/>
      <c r="J191" s="999"/>
      <c r="K191" s="997"/>
      <c r="L191" s="989"/>
      <c r="M191" s="989"/>
      <c r="N191" s="1079"/>
      <c r="O191" s="977"/>
      <c r="P191" s="1170"/>
      <c r="Q191" s="1170" t="s">
        <v>109</v>
      </c>
      <c r="R191" s="1553" t="s">
        <v>22</v>
      </c>
      <c r="S191" s="1414" t="s">
        <v>19</v>
      </c>
      <c r="T191" s="816"/>
      <c r="U191" s="816" t="s">
        <v>109</v>
      </c>
      <c r="V191" s="809"/>
      <c r="W191" s="1565"/>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89"/>
      <c r="E192" s="996"/>
      <c r="F192" s="976"/>
      <c r="G192" s="997"/>
      <c r="H192" s="989"/>
      <c r="I192" s="989"/>
      <c r="J192" s="999"/>
      <c r="K192" s="997"/>
      <c r="L192" s="989"/>
      <c r="M192" s="989"/>
      <c r="N192" s="1079"/>
      <c r="O192" s="977"/>
      <c r="P192" s="1170"/>
      <c r="Q192" s="1170"/>
      <c r="R192" s="1553"/>
      <c r="S192" s="1414"/>
      <c r="T192" s="810"/>
      <c r="U192" s="811"/>
      <c r="V192" s="811"/>
      <c r="W192" s="1565"/>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552"/>
      <c r="E194" s="1234"/>
      <c r="F194" s="1234"/>
      <c r="G194" s="1159"/>
      <c r="H194" s="1189"/>
      <c r="I194" s="1191"/>
      <c r="J194" s="1193"/>
      <c r="K194" s="1185"/>
      <c r="L194" s="1185"/>
      <c r="M194" s="1185"/>
      <c r="N194" s="1196"/>
      <c r="O194" s="1185"/>
      <c r="P194" s="1185"/>
      <c r="Q194" s="1185"/>
      <c r="R194" s="1183"/>
      <c r="S194" s="1185"/>
      <c r="T194" s="804"/>
      <c r="U194" s="804"/>
      <c r="V194" s="803"/>
      <c r="W194" s="746"/>
    </row>
    <row r="195" spans="1:63" ht="16.5" customHeight="1">
      <c r="A195" s="188"/>
      <c r="B195" s="35"/>
      <c r="C195" s="35"/>
      <c r="D195" s="1552"/>
      <c r="E195" s="1234"/>
      <c r="F195" s="1234"/>
      <c r="G195" s="1159"/>
      <c r="H195" s="1190"/>
      <c r="I195" s="1192"/>
      <c r="J195" s="1194"/>
      <c r="K195" s="1186"/>
      <c r="L195" s="1186"/>
      <c r="M195" s="1186"/>
      <c r="N195" s="1197"/>
      <c r="O195" s="1186"/>
      <c r="P195" s="1186"/>
      <c r="Q195" s="1186"/>
      <c r="R195" s="1184"/>
      <c r="S195" s="1186"/>
      <c r="T195" s="747"/>
      <c r="U195" s="747"/>
      <c r="V195" s="747"/>
      <c r="W195" s="748"/>
    </row>
    <row r="196" spans="1:63" ht="17.25" customHeight="1">
      <c r="A196" s="188"/>
      <c r="B196" s="35"/>
      <c r="C196" s="35"/>
      <c r="D196" s="1552"/>
      <c r="E196" s="1234"/>
      <c r="F196" s="1234"/>
      <c r="G196" s="1159"/>
      <c r="H196" s="1190"/>
      <c r="I196" s="1192"/>
      <c r="J196" s="1195"/>
      <c r="K196" s="1186"/>
      <c r="L196" s="1186"/>
      <c r="M196" s="1186"/>
      <c r="N196" s="1184"/>
      <c r="O196" s="1186"/>
      <c r="P196" s="55"/>
      <c r="Q196" s="747"/>
      <c r="R196" s="747"/>
      <c r="S196" s="35"/>
      <c r="T196" s="35"/>
      <c r="U196" s="35"/>
      <c r="V196" s="35"/>
      <c r="W196" s="748"/>
    </row>
    <row r="197" spans="1:63" ht="17.25" customHeight="1">
      <c r="A197" s="188"/>
      <c r="B197" s="35"/>
      <c r="C197" s="35"/>
      <c r="D197" s="1552"/>
      <c r="E197" s="1234"/>
      <c r="F197" s="1234"/>
      <c r="G197" s="1159"/>
      <c r="H197" s="1190"/>
      <c r="I197" s="1192"/>
      <c r="J197" s="1195"/>
      <c r="K197" s="1186"/>
      <c r="L197" s="747"/>
      <c r="M197" s="747"/>
      <c r="N197" s="747"/>
      <c r="O197" s="747"/>
      <c r="P197" s="747"/>
      <c r="Q197" s="747"/>
      <c r="R197" s="747"/>
      <c r="S197" s="35"/>
      <c r="T197" s="35"/>
      <c r="U197" s="35"/>
      <c r="V197" s="35"/>
      <c r="W197" s="748"/>
    </row>
    <row r="198" spans="1:63" ht="17.25" customHeight="1">
      <c r="A198" s="188"/>
      <c r="B198" s="35"/>
      <c r="C198" s="35"/>
      <c r="D198" s="1552"/>
      <c r="E198" s="1234"/>
      <c r="F198" s="1234"/>
      <c r="G198" s="1159"/>
      <c r="H198" s="749"/>
      <c r="I198" s="750"/>
      <c r="J198" s="750"/>
      <c r="K198" s="750"/>
      <c r="L198" s="750"/>
      <c r="M198" s="750"/>
      <c r="N198" s="750"/>
      <c r="O198" s="750"/>
      <c r="P198" s="750"/>
      <c r="Q198" s="750"/>
      <c r="R198" s="750"/>
      <c r="S198" s="751"/>
      <c r="T198" s="751"/>
      <c r="U198" s="751"/>
      <c r="V198" s="751"/>
      <c r="W198" s="752"/>
    </row>
    <row r="200" spans="1:63" s="983" customFormat="1" ht="17.25" customHeight="1">
      <c r="A200" s="983" t="s">
        <v>2070</v>
      </c>
    </row>
    <row r="201" spans="1:63" ht="17.25" customHeight="1">
      <c r="G201" s="994"/>
      <c r="H201" s="994"/>
      <c r="I201" s="994"/>
    </row>
    <row r="202" spans="1:63" ht="15" customHeight="1">
      <c r="D202" s="1572"/>
      <c r="E202" s="1229"/>
      <c r="F202" s="1229"/>
      <c r="G202" s="1237"/>
      <c r="H202" s="868"/>
      <c r="I202" s="1573">
        <v>1</v>
      </c>
      <c r="J202" s="1565"/>
      <c r="K202" s="154"/>
      <c r="L202" s="1237" t="s">
        <v>62</v>
      </c>
      <c r="M202" s="1237" t="s">
        <v>62</v>
      </c>
      <c r="N202" s="868"/>
      <c r="O202" s="1170" t="s">
        <v>109</v>
      </c>
      <c r="P202" s="1456"/>
      <c r="Q202" s="154"/>
      <c r="R202" s="1237" t="s">
        <v>62</v>
      </c>
      <c r="S202" s="1237" t="s">
        <v>62</v>
      </c>
      <c r="T202" s="1000"/>
      <c r="U202" s="1170" t="s">
        <v>109</v>
      </c>
      <c r="V202" s="1569" t="str">
        <f>IF(AK202="","",INDEX(TERRITORY_MR_LIST,MATCH(AK202,TERRITORY_LIST_ID,0)))</f>
        <v/>
      </c>
      <c r="W202" s="349"/>
      <c r="X202" s="1237" t="s">
        <v>62</v>
      </c>
      <c r="Y202" s="1237" t="s">
        <v>19</v>
      </c>
      <c r="Z202" s="868"/>
      <c r="AA202" s="1170" t="s">
        <v>109</v>
      </c>
      <c r="AB202" s="1571"/>
      <c r="AC202" s="878"/>
      <c r="AD202" s="1237" t="s">
        <v>62</v>
      </c>
      <c r="AE202" s="1237" t="s">
        <v>19</v>
      </c>
      <c r="AF202" s="349"/>
      <c r="AG202" s="43" t="s">
        <v>109</v>
      </c>
      <c r="AH202" s="874"/>
      <c r="AI202" s="37"/>
    </row>
    <row r="203" spans="1:63" ht="15" customHeight="1">
      <c r="D203" s="1572"/>
      <c r="E203" s="1229"/>
      <c r="F203" s="1229"/>
      <c r="G203" s="1238"/>
      <c r="H203" s="868"/>
      <c r="I203" s="1573"/>
      <c r="J203" s="1565"/>
      <c r="K203" s="867"/>
      <c r="L203" s="1238"/>
      <c r="M203" s="1238"/>
      <c r="N203" s="868"/>
      <c r="O203" s="1170"/>
      <c r="P203" s="1456"/>
      <c r="Q203" s="865"/>
      <c r="R203" s="1238"/>
      <c r="S203" s="1238"/>
      <c r="T203" s="1000"/>
      <c r="U203" s="1170"/>
      <c r="V203" s="1570"/>
      <c r="W203" s="866"/>
      <c r="X203" s="1238"/>
      <c r="Y203" s="1238"/>
      <c r="Z203" s="868"/>
      <c r="AA203" s="1170"/>
      <c r="AB203" s="1543"/>
      <c r="AC203" s="599"/>
      <c r="AD203" s="1174"/>
      <c r="AE203" s="1174"/>
      <c r="AF203" s="869"/>
      <c r="AG203" s="185"/>
      <c r="AH203" s="1575" t="s">
        <v>2071</v>
      </c>
      <c r="AI203" s="1576"/>
    </row>
    <row r="204" spans="1:63" ht="15" customHeight="1">
      <c r="D204" s="1572"/>
      <c r="E204" s="1229"/>
      <c r="F204" s="1229"/>
      <c r="G204" s="1238"/>
      <c r="H204" s="868"/>
      <c r="I204" s="1573"/>
      <c r="J204" s="1565"/>
      <c r="K204" s="867"/>
      <c r="L204" s="1238"/>
      <c r="M204" s="1238"/>
      <c r="N204" s="868"/>
      <c r="O204" s="1170"/>
      <c r="P204" s="1456"/>
      <c r="Q204" s="865"/>
      <c r="R204" s="1238"/>
      <c r="S204" s="1238"/>
      <c r="T204" s="1000"/>
      <c r="U204" s="1170"/>
      <c r="V204" s="1570"/>
      <c r="W204" s="866"/>
      <c r="X204" s="1238"/>
      <c r="Y204" s="1238"/>
      <c r="Z204" s="866"/>
      <c r="AA204" s="871"/>
      <c r="AB204" s="1577" t="s">
        <v>2072</v>
      </c>
      <c r="AC204" s="1577"/>
      <c r="AD204" s="1577"/>
      <c r="AE204" s="1577"/>
      <c r="AF204" s="1577"/>
      <c r="AG204" s="1577"/>
      <c r="AH204" s="1577"/>
      <c r="AI204" s="1578"/>
    </row>
    <row r="205" spans="1:63" ht="15" customHeight="1">
      <c r="D205" s="1572"/>
      <c r="E205" s="1229"/>
      <c r="F205" s="1229"/>
      <c r="G205" s="1238"/>
      <c r="H205" s="868"/>
      <c r="I205" s="1573"/>
      <c r="J205" s="1565"/>
      <c r="K205" s="867"/>
      <c r="L205" s="1238"/>
      <c r="M205" s="1238"/>
      <c r="N205" s="868"/>
      <c r="O205" s="1170"/>
      <c r="P205" s="1579"/>
      <c r="Q205" s="865"/>
      <c r="R205" s="1238"/>
      <c r="S205" s="1238"/>
      <c r="T205" s="1001"/>
      <c r="U205" s="889"/>
      <c r="V205" s="1575" t="s">
        <v>103</v>
      </c>
      <c r="W205" s="1575"/>
      <c r="X205" s="1575"/>
      <c r="Y205" s="1575"/>
      <c r="Z205" s="1575"/>
      <c r="AA205" s="1575"/>
      <c r="AB205" s="1575"/>
      <c r="AC205" s="1575"/>
      <c r="AD205" s="1575"/>
      <c r="AE205" s="1575"/>
      <c r="AF205" s="1575"/>
      <c r="AG205" s="1575"/>
      <c r="AH205" s="1575"/>
      <c r="AI205" s="1576"/>
    </row>
    <row r="206" spans="1:63" ht="11.25" customHeight="1">
      <c r="D206" s="1572"/>
      <c r="E206" s="1229"/>
      <c r="F206" s="1229"/>
      <c r="G206" s="1238"/>
      <c r="H206" s="870"/>
      <c r="I206" s="1573"/>
      <c r="J206" s="1574"/>
      <c r="K206" s="867"/>
      <c r="L206" s="1238"/>
      <c r="M206" s="1238"/>
      <c r="N206" s="870"/>
      <c r="O206" s="871"/>
      <c r="P206" s="1575" t="s">
        <v>2073</v>
      </c>
      <c r="Q206" s="1575"/>
      <c r="R206" s="1575"/>
      <c r="S206" s="1575"/>
      <c r="T206" s="1575"/>
      <c r="U206" s="1575"/>
      <c r="V206" s="1575"/>
      <c r="W206" s="1575"/>
      <c r="X206" s="1575"/>
      <c r="Y206" s="1575"/>
      <c r="Z206" s="1575"/>
      <c r="AA206" s="1575"/>
      <c r="AB206" s="1575"/>
      <c r="AC206" s="1575"/>
      <c r="AD206" s="1575"/>
      <c r="AE206" s="1575"/>
      <c r="AF206" s="1575"/>
      <c r="AG206" s="1575"/>
      <c r="AH206" s="1575"/>
      <c r="AI206" s="1576"/>
    </row>
    <row r="207" spans="1:63" s="860" customFormat="1" ht="11.25" customHeight="1">
      <c r="D207" s="1572"/>
      <c r="E207" s="1229"/>
      <c r="F207" s="1229"/>
      <c r="G207" s="1174"/>
      <c r="H207" s="872"/>
      <c r="I207" s="873"/>
      <c r="J207" s="1575" t="s">
        <v>450</v>
      </c>
      <c r="K207" s="1575"/>
      <c r="L207" s="1575"/>
      <c r="M207" s="1575"/>
      <c r="N207" s="1575"/>
      <c r="O207" s="1575"/>
      <c r="P207" s="1575"/>
      <c r="Q207" s="1575"/>
      <c r="R207" s="1575"/>
      <c r="S207" s="1575"/>
      <c r="T207" s="1575"/>
      <c r="U207" s="1575"/>
      <c r="V207" s="1575"/>
      <c r="W207" s="1575"/>
      <c r="X207" s="1575"/>
      <c r="Y207" s="1575"/>
      <c r="Z207" s="1575"/>
      <c r="AA207" s="1575"/>
      <c r="AB207" s="1575"/>
      <c r="AC207" s="1575"/>
      <c r="AD207" s="1575"/>
      <c r="AE207" s="1575"/>
      <c r="AF207" s="1575"/>
      <c r="AG207" s="1575"/>
      <c r="AH207" s="1575"/>
      <c r="AI207" s="1576"/>
      <c r="BK207"/>
    </row>
    <row r="208" spans="1:63" ht="17.25" customHeight="1">
      <c r="G208" s="994"/>
      <c r="I208" s="994"/>
      <c r="J208" s="994"/>
    </row>
    <row r="209" spans="4:63" ht="15" customHeight="1">
      <c r="D209" s="1572"/>
      <c r="E209" s="1229"/>
      <c r="F209" s="1229"/>
      <c r="G209" s="1234"/>
      <c r="H209" s="885"/>
      <c r="I209" s="1239"/>
      <c r="J209" s="1193"/>
      <c r="K209" s="833"/>
      <c r="L209" s="1185"/>
      <c r="M209" s="1185"/>
      <c r="N209" s="879"/>
      <c r="O209" s="1185"/>
      <c r="P209" s="1193"/>
      <c r="Q209" s="833"/>
      <c r="R209" s="1185"/>
      <c r="S209" s="1185"/>
      <c r="T209" s="880"/>
      <c r="U209" s="1185"/>
      <c r="V209" s="1193"/>
      <c r="W209" s="804"/>
      <c r="X209" s="1185"/>
      <c r="Y209" s="1185"/>
      <c r="Z209" s="879"/>
      <c r="AA209" s="1185"/>
      <c r="AB209" s="1193"/>
      <c r="AC209" s="881"/>
      <c r="AD209" s="1185"/>
      <c r="AE209" s="1185"/>
      <c r="AF209" s="804"/>
      <c r="AG209" s="804"/>
      <c r="AH209" s="879"/>
      <c r="AI209" s="746"/>
    </row>
    <row r="210" spans="4:63" ht="15" customHeight="1">
      <c r="D210" s="1572"/>
      <c r="E210" s="1229"/>
      <c r="F210" s="1229"/>
      <c r="G210" s="1234"/>
      <c r="H210" s="886"/>
      <c r="I210" s="1240"/>
      <c r="J210" s="1194"/>
      <c r="K210" s="342"/>
      <c r="L210" s="1186"/>
      <c r="M210" s="1186"/>
      <c r="N210" s="33"/>
      <c r="O210" s="1186"/>
      <c r="P210" s="1194"/>
      <c r="Q210" s="383"/>
      <c r="R210" s="1186"/>
      <c r="S210" s="1186"/>
      <c r="T210" s="882"/>
      <c r="U210" s="1186"/>
      <c r="V210" s="1194"/>
      <c r="W210" s="55"/>
      <c r="X210" s="1186"/>
      <c r="Y210" s="1186"/>
      <c r="Z210" s="33"/>
      <c r="AA210" s="1186"/>
      <c r="AB210" s="1194"/>
      <c r="AC210" s="342"/>
      <c r="AD210" s="1186"/>
      <c r="AE210" s="1186"/>
      <c r="AF210" s="747"/>
      <c r="AG210" s="747"/>
      <c r="AH210" s="1243"/>
      <c r="AI210" s="1244"/>
    </row>
    <row r="211" spans="4:63" ht="15" customHeight="1">
      <c r="D211" s="1572"/>
      <c r="E211" s="1229"/>
      <c r="F211" s="1229"/>
      <c r="G211" s="1234"/>
      <c r="H211" s="886"/>
      <c r="I211" s="1240"/>
      <c r="J211" s="1194"/>
      <c r="K211" s="342"/>
      <c r="L211" s="1186"/>
      <c r="M211" s="1186"/>
      <c r="N211" s="33"/>
      <c r="O211" s="1186"/>
      <c r="P211" s="1194"/>
      <c r="Q211" s="383"/>
      <c r="R211" s="1186"/>
      <c r="S211" s="1186"/>
      <c r="T211" s="882"/>
      <c r="U211" s="1186"/>
      <c r="V211" s="1194"/>
      <c r="W211" s="55"/>
      <c r="X211" s="1186"/>
      <c r="Y211" s="1186"/>
      <c r="Z211" s="55"/>
      <c r="AA211" s="747"/>
      <c r="AB211" s="1243"/>
      <c r="AC211" s="1243"/>
      <c r="AD211" s="1243"/>
      <c r="AE211" s="1243"/>
      <c r="AF211" s="1243"/>
      <c r="AG211" s="1243"/>
      <c r="AH211" s="1243"/>
      <c r="AI211" s="1244"/>
    </row>
    <row r="212" spans="4:63" ht="15" customHeight="1">
      <c r="D212" s="1572"/>
      <c r="E212" s="1229"/>
      <c r="F212" s="1229"/>
      <c r="G212" s="1234"/>
      <c r="H212" s="886"/>
      <c r="I212" s="1240"/>
      <c r="J212" s="1194"/>
      <c r="K212" s="342"/>
      <c r="L212" s="1186"/>
      <c r="M212" s="1186"/>
      <c r="N212" s="33"/>
      <c r="O212" s="1186"/>
      <c r="P212" s="1194"/>
      <c r="Q212" s="383"/>
      <c r="R212" s="1186"/>
      <c r="S212" s="1186"/>
      <c r="T212" s="50"/>
      <c r="U212" s="883"/>
      <c r="V212" s="1243"/>
      <c r="W212" s="1243"/>
      <c r="X212" s="1243"/>
      <c r="Y212" s="1243"/>
      <c r="Z212" s="1243"/>
      <c r="AA212" s="1243"/>
      <c r="AB212" s="1243"/>
      <c r="AC212" s="1243"/>
      <c r="AD212" s="1243"/>
      <c r="AE212" s="1243"/>
      <c r="AF212" s="1243"/>
      <c r="AG212" s="1243"/>
      <c r="AH212" s="1243"/>
      <c r="AI212" s="1244"/>
    </row>
    <row r="213" spans="4:63" ht="11.25" customHeight="1">
      <c r="D213" s="1572"/>
      <c r="E213" s="1229"/>
      <c r="F213" s="1229"/>
      <c r="G213" s="1234"/>
      <c r="H213" s="887"/>
      <c r="I213" s="1240"/>
      <c r="J213" s="1194"/>
      <c r="K213" s="342"/>
      <c r="L213" s="1186"/>
      <c r="M213" s="1186"/>
      <c r="N213" s="747"/>
      <c r="O213" s="747"/>
      <c r="P213" s="1243"/>
      <c r="Q213" s="1243"/>
      <c r="R213" s="1243"/>
      <c r="S213" s="1243"/>
      <c r="T213" s="1243"/>
      <c r="U213" s="1243"/>
      <c r="V213" s="1243"/>
      <c r="W213" s="1243"/>
      <c r="X213" s="1243"/>
      <c r="Y213" s="1243"/>
      <c r="Z213" s="1243"/>
      <c r="AA213" s="1243"/>
      <c r="AB213" s="1243"/>
      <c r="AC213" s="1243"/>
      <c r="AD213" s="1243"/>
      <c r="AE213" s="1243"/>
      <c r="AF213" s="1243"/>
      <c r="AG213" s="1243"/>
      <c r="AH213" s="1243"/>
      <c r="AI213" s="1244"/>
    </row>
    <row r="214" spans="4:63" s="860" customFormat="1" ht="11.25" customHeight="1">
      <c r="D214" s="1572"/>
      <c r="E214" s="1229"/>
      <c r="F214" s="1229"/>
      <c r="G214" s="1245"/>
      <c r="H214" s="884"/>
      <c r="I214" s="888"/>
      <c r="J214" s="1241"/>
      <c r="K214" s="1241"/>
      <c r="L214" s="1241"/>
      <c r="M214" s="1241"/>
      <c r="N214" s="1241"/>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2"/>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2074</v>
      </c>
      <c r="B1" s="483"/>
      <c r="C1" s="567" t="s">
        <v>2075</v>
      </c>
      <c r="D1" s="565" t="s">
        <v>842</v>
      </c>
      <c r="E1" s="565" t="s">
        <v>888</v>
      </c>
      <c r="F1" s="565" t="s">
        <v>943</v>
      </c>
      <c r="G1" s="565" t="s">
        <v>930</v>
      </c>
      <c r="H1" s="565" t="s">
        <v>1764</v>
      </c>
    </row>
    <row r="2" spans="1:8" ht="9" customHeight="1">
      <c r="A2" s="568" t="s">
        <v>2076</v>
      </c>
      <c r="B2" s="568"/>
      <c r="C2" s="569" t="str">
        <f>INDEX(TEMPLATE_NUMBER_FORM_LIST,MATCH(TEMPLATE_SPHERE,TEMPLATE_SPHERE_LIST,0))</f>
        <v>10</v>
      </c>
      <c r="D2" s="568" t="s">
        <v>1111</v>
      </c>
      <c r="E2" s="568" t="s">
        <v>157</v>
      </c>
      <c r="F2" s="570" t="s">
        <v>157</v>
      </c>
      <c r="G2" s="568" t="s">
        <v>157</v>
      </c>
      <c r="H2" s="571"/>
    </row>
    <row r="3" spans="1:8" ht="63" customHeight="1">
      <c r="A3" s="483"/>
      <c r="B3" s="483" t="s">
        <v>109</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9" t="s">
        <v>2077</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70"/>
      <c r="G3" s="571"/>
      <c r="H3" s="483"/>
    </row>
    <row r="4" spans="1:8" ht="243" customHeight="1">
      <c r="A4" s="483" t="s">
        <v>2078</v>
      </c>
      <c r="B4" s="483" t="s">
        <v>110</v>
      </c>
      <c r="C4" s="569" t="str">
        <f>IF(TEMPLATE_SPHERE="HEAT",D4,IF(TEMPLATE_SPHERE="TKO",H4,E4))</f>
        <v>Форма 1. Информация об организации, осуществляющей холодное водоснабжение (общая информация)</v>
      </c>
      <c r="D4" s="568" t="s">
        <v>2079</v>
      </c>
      <c r="E4" s="56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8"/>
      <c r="G4" s="568"/>
      <c r="H4" s="483" t="s">
        <v>2080</v>
      </c>
    </row>
    <row r="5" spans="1:8" ht="117" customHeight="1">
      <c r="A5" s="483" t="s">
        <v>2081</v>
      </c>
      <c r="B5" s="483" t="s">
        <v>90</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3" t="s">
        <v>2082</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1"/>
      <c r="G5" s="571"/>
      <c r="H5" s="483" t="s">
        <v>2083</v>
      </c>
    </row>
    <row r="6" spans="1:8" ht="90" customHeight="1">
      <c r="A6" s="483" t="s">
        <v>2084</v>
      </c>
      <c r="B6" s="483" t="s">
        <v>91</v>
      </c>
      <c r="C6" s="56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3"/>
      <c r="G6" s="483"/>
      <c r="H6" s="571"/>
    </row>
    <row r="7" spans="1:8" ht="45" customHeight="1">
      <c r="A7" s="483" t="s">
        <v>2085</v>
      </c>
      <c r="B7" s="483" t="s">
        <v>111</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2086</v>
      </c>
      <c r="E7" s="483" t="s">
        <v>2087</v>
      </c>
      <c r="F7" s="571"/>
      <c r="G7" s="571"/>
      <c r="H7" s="571"/>
    </row>
    <row r="8" spans="1:8" ht="108" customHeight="1">
      <c r="A8" s="483" t="s">
        <v>2088</v>
      </c>
      <c r="B8" s="483" t="s">
        <v>92</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1332</v>
      </c>
      <c r="E8" s="483" t="s">
        <v>2089</v>
      </c>
      <c r="F8" s="571"/>
      <c r="G8" s="571"/>
      <c r="H8" s="571"/>
    </row>
    <row r="9" spans="1:8" ht="99" customHeight="1">
      <c r="A9" s="483" t="s">
        <v>2090</v>
      </c>
      <c r="B9" s="483"/>
      <c r="C9" s="483" t="s">
        <v>2091</v>
      </c>
      <c r="D9" s="483"/>
      <c r="E9" s="483"/>
      <c r="F9" s="571"/>
      <c r="G9" s="571"/>
      <c r="H9" s="571"/>
    </row>
    <row r="10" spans="1:8" ht="126" customHeight="1">
      <c r="A10" s="483" t="s">
        <v>2092</v>
      </c>
      <c r="B10" s="483"/>
      <c r="C10" s="483" t="s">
        <v>2093</v>
      </c>
      <c r="D10" s="483"/>
      <c r="E10" s="483"/>
      <c r="F10" s="571"/>
      <c r="G10" s="571"/>
      <c r="H10" s="571"/>
    </row>
    <row r="11" spans="1:8" ht="108" customHeight="1">
      <c r="A11" s="483" t="s">
        <v>2094</v>
      </c>
      <c r="B11" s="483"/>
      <c r="C11" s="483" t="s">
        <v>2095</v>
      </c>
      <c r="D11" s="483"/>
      <c r="E11" s="483"/>
      <c r="F11" s="571"/>
      <c r="G11" s="571"/>
      <c r="H11" s="571"/>
    </row>
    <row r="12" spans="1:8" ht="54" customHeight="1">
      <c r="A12" s="483" t="s">
        <v>2096</v>
      </c>
      <c r="B12" s="483"/>
      <c r="C12" s="483" t="s">
        <v>2097</v>
      </c>
      <c r="D12" s="483"/>
      <c r="E12" s="483"/>
      <c r="F12" s="571"/>
      <c r="G12" s="571"/>
      <c r="H12" s="571"/>
    </row>
    <row r="13" spans="1:8" ht="45" customHeight="1">
      <c r="A13" s="483" t="s">
        <v>2098</v>
      </c>
      <c r="B13" s="483"/>
      <c r="C13" s="483" t="s">
        <v>2099</v>
      </c>
      <c r="D13" s="483"/>
      <c r="E13" s="483"/>
      <c r="F13" s="571"/>
      <c r="G13" s="571"/>
      <c r="H13" s="571"/>
    </row>
    <row r="14" spans="1:8" ht="117" customHeight="1">
      <c r="A14" s="483" t="s">
        <v>2100</v>
      </c>
      <c r="B14" s="483"/>
      <c r="C14" s="483" t="s">
        <v>2101</v>
      </c>
      <c r="D14" s="483"/>
      <c r="E14" s="483"/>
      <c r="F14" s="571"/>
      <c r="G14" s="571"/>
      <c r="H14" s="571"/>
    </row>
    <row r="15" spans="1:8" ht="117" customHeight="1">
      <c r="A15" s="483" t="s">
        <v>2102</v>
      </c>
      <c r="B15" s="483"/>
      <c r="C15" s="483" t="s">
        <v>2103</v>
      </c>
      <c r="D15" s="483"/>
      <c r="E15" s="483"/>
      <c r="F15" s="571"/>
      <c r="G15" s="571"/>
      <c r="H15" s="571"/>
    </row>
    <row r="16" spans="1:8" ht="63" customHeight="1">
      <c r="A16" s="483" t="s">
        <v>2104</v>
      </c>
      <c r="B16" s="483"/>
      <c r="C16" s="483" t="s">
        <v>2105</v>
      </c>
      <c r="D16" s="483"/>
      <c r="E16" s="483"/>
      <c r="F16" s="571"/>
      <c r="G16" s="571"/>
      <c r="H16" s="571"/>
    </row>
    <row r="17" spans="1:8" ht="54" customHeight="1">
      <c r="A17" s="483" t="s">
        <v>2106</v>
      </c>
      <c r="B17" s="483"/>
      <c r="C17" s="569" t="s">
        <v>2107</v>
      </c>
      <c r="D17" s="483"/>
      <c r="E17" s="483"/>
      <c r="F17" s="571"/>
      <c r="G17" s="571"/>
      <c r="H17" s="571"/>
    </row>
    <row r="18" spans="1:8" ht="27" customHeight="1">
      <c r="A18" s="483" t="s">
        <v>2108</v>
      </c>
      <c r="B18" s="483"/>
      <c r="C18" s="569" t="s">
        <v>2109</v>
      </c>
      <c r="D18" s="483"/>
      <c r="E18" s="483"/>
      <c r="F18" s="571"/>
      <c r="G18" s="571"/>
      <c r="H18" s="571"/>
    </row>
    <row r="19" spans="1:8" ht="54" customHeight="1">
      <c r="A19" s="483" t="s">
        <v>2110</v>
      </c>
      <c r="B19" s="483"/>
      <c r="C19" s="569" t="s">
        <v>2111</v>
      </c>
      <c r="D19" s="483"/>
      <c r="E19" s="483"/>
      <c r="F19" s="571"/>
      <c r="G19" s="571"/>
      <c r="H19" s="571"/>
    </row>
    <row r="20" spans="1:8" ht="36" customHeight="1">
      <c r="A20" s="483" t="s">
        <v>2112</v>
      </c>
      <c r="B20" s="483"/>
      <c r="C20" s="569" t="s">
        <v>2113</v>
      </c>
      <c r="D20" s="483"/>
      <c r="E20" s="483"/>
      <c r="F20" s="571"/>
      <c r="G20" s="571"/>
      <c r="H20" s="571"/>
    </row>
    <row r="21" spans="1:8" ht="36" customHeight="1">
      <c r="A21" s="483" t="s">
        <v>2114</v>
      </c>
      <c r="B21" s="483"/>
      <c r="C21" s="569" t="s">
        <v>2115</v>
      </c>
      <c r="D21" s="483"/>
      <c r="E21" s="483"/>
      <c r="F21" s="571"/>
      <c r="G21" s="571"/>
      <c r="H21" s="571"/>
    </row>
    <row r="22" spans="1:8" ht="27" customHeight="1">
      <c r="A22" s="483" t="s">
        <v>2116</v>
      </c>
      <c r="B22" s="483"/>
      <c r="C22" s="569" t="s">
        <v>2117</v>
      </c>
      <c r="D22" s="483"/>
      <c r="E22" s="483"/>
      <c r="F22" s="571"/>
      <c r="G22" s="571"/>
      <c r="H22" s="571"/>
    </row>
    <row r="23" spans="1:8" ht="36" customHeight="1">
      <c r="A23" s="483" t="s">
        <v>2118</v>
      </c>
      <c r="B23" s="483"/>
      <c r="C23" s="569" t="s">
        <v>2119</v>
      </c>
      <c r="D23" s="483"/>
      <c r="E23" s="483"/>
      <c r="F23" s="571"/>
      <c r="G23" s="571"/>
      <c r="H23" s="571"/>
    </row>
    <row r="24" spans="1:8" ht="28.5" customHeight="1">
      <c r="A24" s="483" t="s">
        <v>2120</v>
      </c>
      <c r="B24" s="483"/>
      <c r="C24" s="569" t="s">
        <v>2121</v>
      </c>
      <c r="D24" s="483"/>
      <c r="E24" s="483"/>
      <c r="F24" s="571"/>
      <c r="G24" s="571"/>
      <c r="H24" s="571"/>
    </row>
    <row r="25" spans="1:8" ht="36" customHeight="1">
      <c r="A25" s="483" t="s">
        <v>2122</v>
      </c>
      <c r="B25" s="483"/>
      <c r="C25" s="569" t="s">
        <v>2123</v>
      </c>
      <c r="D25" s="483"/>
      <c r="E25" s="483"/>
      <c r="F25" s="571"/>
      <c r="G25" s="571"/>
      <c r="H25" s="571"/>
    </row>
    <row r="26" spans="1:8" ht="27" customHeight="1">
      <c r="A26" s="483" t="s">
        <v>2124</v>
      </c>
      <c r="B26" s="483"/>
      <c r="C26" s="569" t="s">
        <v>2125</v>
      </c>
      <c r="D26" s="483"/>
      <c r="E26" s="483"/>
      <c r="F26" s="571"/>
      <c r="G26" s="571"/>
      <c r="H26" s="571"/>
    </row>
    <row r="27" spans="1:8" ht="36" customHeight="1">
      <c r="A27" s="483" t="s">
        <v>2126</v>
      </c>
      <c r="B27" s="483"/>
      <c r="C27" s="569" t="s">
        <v>2127</v>
      </c>
      <c r="D27" s="483"/>
      <c r="E27" s="483"/>
      <c r="F27" s="571"/>
      <c r="G27" s="571"/>
      <c r="H27" s="571"/>
    </row>
    <row r="28" spans="1:8" ht="28.5" customHeight="1">
      <c r="A28" s="483" t="s">
        <v>2128</v>
      </c>
      <c r="B28" s="483"/>
      <c r="C28" s="569" t="s">
        <v>2129</v>
      </c>
      <c r="D28" s="483"/>
      <c r="E28" s="483"/>
      <c r="F28" s="571"/>
      <c r="G28" s="571"/>
      <c r="H28" s="571"/>
    </row>
    <row r="29" spans="1:8" ht="126" customHeight="1">
      <c r="A29" s="483" t="s">
        <v>2130</v>
      </c>
      <c r="B29" s="483" t="s">
        <v>1138</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3" t="s">
        <v>2131</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1"/>
      <c r="G29" s="571"/>
      <c r="H29" s="483" t="s">
        <v>2132</v>
      </c>
    </row>
    <row r="30" spans="1:8" ht="36" customHeight="1">
      <c r="A30" s="483" t="s">
        <v>2133</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3" t="s">
        <v>2134</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1"/>
      <c r="G30" s="571"/>
      <c r="H30" s="571"/>
    </row>
    <row r="31" spans="1:8" ht="54" customHeight="1">
      <c r="A31" s="483" t="s">
        <v>2135</v>
      </c>
      <c r="B31" s="483"/>
      <c r="C31" s="569" t="str">
        <f>IF(TEMPLATE_SPHERE="HEAT",D31,IF(TEMPLATE_SPHERE="TKO",H31,E31))</f>
        <v>Форма 1. Информация об организации, осуществляющей холодное водоснабжение (общая информация)</v>
      </c>
      <c r="D31" s="483" t="s">
        <v>2136</v>
      </c>
      <c r="E31" s="48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1"/>
      <c r="G31" s="571"/>
      <c r="H31" s="571"/>
    </row>
    <row r="32" spans="1:8" ht="198" customHeight="1">
      <c r="A32" s="483" t="s">
        <v>2137</v>
      </c>
      <c r="B32" s="483"/>
      <c r="C32" s="569"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3" t="s">
        <v>2138</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1"/>
      <c r="G32" s="571"/>
      <c r="H32" s="483" t="s">
        <v>2139</v>
      </c>
    </row>
    <row r="33" spans="1:8" ht="9" customHeight="1">
      <c r="A33" s="483"/>
      <c r="B33" s="483"/>
      <c r="C33" s="569"/>
      <c r="D33" s="483"/>
      <c r="E33" s="483"/>
      <c r="F33" s="571"/>
      <c r="G33" s="571"/>
      <c r="H33" s="571"/>
    </row>
    <row r="34" spans="1:8" ht="9" customHeight="1">
      <c r="A34" s="483"/>
      <c r="B34" s="483" t="s">
        <v>1118</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2140</v>
      </c>
      <c r="D1" s="520"/>
      <c r="E1" s="520"/>
      <c r="F1" s="520"/>
      <c r="G1" s="520"/>
      <c r="H1" s="520" t="s">
        <v>2141</v>
      </c>
      <c r="I1" s="520"/>
      <c r="J1" s="520"/>
      <c r="K1" s="520"/>
      <c r="L1" s="520"/>
      <c r="M1" s="520" t="s">
        <v>2142</v>
      </c>
      <c r="N1" s="520" t="s">
        <v>2143</v>
      </c>
      <c r="O1" s="1580" t="s">
        <v>2144</v>
      </c>
      <c r="P1" s="1580"/>
      <c r="Q1" s="1580"/>
      <c r="R1" s="1580"/>
      <c r="S1" s="1580"/>
      <c r="T1" s="1580" t="s">
        <v>2142</v>
      </c>
      <c r="U1" s="1580"/>
      <c r="V1" s="1580"/>
      <c r="W1" s="1580"/>
      <c r="X1" s="1580"/>
      <c r="Y1" s="584"/>
      <c r="Z1" s="1580" t="s">
        <v>2145</v>
      </c>
      <c r="AA1" s="1580"/>
      <c r="AB1" s="1580"/>
      <c r="AC1" s="1580"/>
      <c r="AD1" s="1580"/>
    </row>
    <row r="2" spans="1:34" ht="18" customHeight="1">
      <c r="A2" s="483"/>
      <c r="B2" s="483"/>
      <c r="C2" s="478" t="s">
        <v>842</v>
      </c>
      <c r="D2" s="478" t="s">
        <v>888</v>
      </c>
      <c r="E2" s="478" t="s">
        <v>943</v>
      </c>
      <c r="F2" s="478" t="s">
        <v>930</v>
      </c>
      <c r="G2" s="478" t="s">
        <v>1764</v>
      </c>
      <c r="H2" s="480"/>
      <c r="I2" s="480"/>
      <c r="J2" s="480"/>
      <c r="K2" s="480"/>
      <c r="L2" s="480"/>
      <c r="M2" s="480"/>
      <c r="N2" s="480"/>
      <c r="O2" s="478" t="s">
        <v>842</v>
      </c>
      <c r="P2" s="478" t="s">
        <v>888</v>
      </c>
      <c r="Q2" s="478" t="s">
        <v>930</v>
      </c>
      <c r="R2" s="478" t="s">
        <v>943</v>
      </c>
      <c r="S2" s="478" t="s">
        <v>1764</v>
      </c>
      <c r="T2" s="478" t="s">
        <v>842</v>
      </c>
      <c r="U2" s="478" t="s">
        <v>888</v>
      </c>
      <c r="V2" s="478" t="s">
        <v>930</v>
      </c>
      <c r="W2" s="478" t="s">
        <v>943</v>
      </c>
      <c r="X2" s="478" t="s">
        <v>1764</v>
      </c>
      <c r="Y2" s="478"/>
      <c r="Z2" s="478" t="s">
        <v>842</v>
      </c>
      <c r="AA2" s="487" t="s">
        <v>888</v>
      </c>
      <c r="AB2" s="478" t="s">
        <v>930</v>
      </c>
      <c r="AC2" s="478" t="s">
        <v>943</v>
      </c>
      <c r="AD2" s="478" t="s">
        <v>1764</v>
      </c>
    </row>
    <row r="3" spans="1:34" ht="162" customHeight="1">
      <c r="A3" s="482" t="s">
        <v>27</v>
      </c>
      <c r="B3" s="482"/>
      <c r="C3" s="1584" t="s">
        <v>2146</v>
      </c>
      <c r="D3" s="1585"/>
      <c r="E3" s="1585"/>
      <c r="F3" s="1586"/>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80"/>
      <c r="P3" s="480"/>
      <c r="Q3" s="480"/>
      <c r="R3" s="480"/>
      <c r="S3" s="480"/>
      <c r="T3" s="480"/>
      <c r="U3" s="480"/>
      <c r="V3" s="480"/>
      <c r="W3" s="480"/>
      <c r="X3" s="480"/>
      <c r="Y3" s="585"/>
      <c r="Z3" s="483" t="s">
        <v>2147</v>
      </c>
      <c r="AA3" s="480" t="s">
        <v>2148</v>
      </c>
      <c r="AB3" s="483" t="s">
        <v>2149</v>
      </c>
      <c r="AC3" s="483" t="s">
        <v>2150</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81" t="s">
        <v>33</v>
      </c>
      <c r="B11" s="521">
        <v>1</v>
      </c>
      <c r="C11" s="1587" t="s">
        <v>1132</v>
      </c>
      <c r="D11" s="1587" t="s">
        <v>1130</v>
      </c>
      <c r="E11" s="1587" t="s">
        <v>1797</v>
      </c>
      <c r="F11" s="1587" t="s">
        <v>2151</v>
      </c>
      <c r="G11" s="1587"/>
      <c r="H11" s="520" t="s">
        <v>2152</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80"/>
      <c r="P11" s="480"/>
      <c r="Q11" s="480"/>
      <c r="R11" s="480"/>
      <c r="S11" s="480"/>
      <c r="T11" s="480" t="s">
        <v>2153</v>
      </c>
      <c r="U11" s="480" t="s">
        <v>2154</v>
      </c>
      <c r="V11" s="480"/>
      <c r="W11" s="480"/>
      <c r="X11" s="480"/>
      <c r="Y11" s="585"/>
      <c r="Z11" s="483" t="s">
        <v>2155</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3"/>
      <c r="AC11" s="483"/>
      <c r="AD11" s="483"/>
    </row>
    <row r="12" spans="1:34" ht="45" customHeight="1">
      <c r="A12" s="1581"/>
      <c r="B12" s="521">
        <v>2</v>
      </c>
      <c r="C12" s="1588"/>
      <c r="D12" s="1588"/>
      <c r="E12" s="1588"/>
      <c r="F12" s="1588"/>
      <c r="G12" s="1588"/>
      <c r="H12" s="520" t="s">
        <v>2156</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80"/>
      <c r="P12" s="480"/>
      <c r="Q12" s="480"/>
      <c r="R12" s="480"/>
      <c r="S12" s="480"/>
      <c r="T12" s="480" t="s">
        <v>2157</v>
      </c>
      <c r="U12" s="480" t="s">
        <v>2158</v>
      </c>
      <c r="V12" s="480"/>
      <c r="W12" s="480"/>
      <c r="X12" s="480"/>
      <c r="Y12" s="585"/>
      <c r="Z12" s="483" t="s">
        <v>2159</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3"/>
      <c r="AC12" s="483"/>
      <c r="AD12" s="483"/>
    </row>
    <row r="13" spans="1:34" ht="72" customHeight="1">
      <c r="A13" s="1581"/>
      <c r="B13" s="521">
        <v>3</v>
      </c>
      <c r="C13" s="1588"/>
      <c r="D13" s="1588"/>
      <c r="E13" s="1588"/>
      <c r="F13" s="1588"/>
      <c r="G13" s="1588"/>
      <c r="H13" s="1580" t="s">
        <v>2160</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80"/>
      <c r="P13" s="481"/>
      <c r="Q13" s="481"/>
      <c r="R13" s="481"/>
      <c r="S13" s="480"/>
      <c r="T13" s="480" t="s">
        <v>2161</v>
      </c>
      <c r="U13" s="481" t="s">
        <v>2162</v>
      </c>
      <c r="V13" s="481"/>
      <c r="W13" s="481"/>
      <c r="X13" s="480"/>
      <c r="Y13" s="585"/>
      <c r="Z13" s="483" t="s">
        <v>2163</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3"/>
      <c r="AC13" s="483"/>
      <c r="AD13" s="483"/>
    </row>
    <row r="14" spans="1:34" ht="45" customHeight="1">
      <c r="A14" s="1581"/>
      <c r="B14" s="521">
        <v>4</v>
      </c>
      <c r="C14" s="1588"/>
      <c r="D14" s="1588"/>
      <c r="E14" s="1588"/>
      <c r="F14" s="1588"/>
      <c r="G14" s="1588"/>
      <c r="H14" s="1580"/>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2164</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1"/>
      <c r="W14" s="481"/>
      <c r="X14" s="480"/>
      <c r="Y14" s="585"/>
      <c r="Z14" s="483" t="s">
        <v>2165</v>
      </c>
      <c r="AA14" s="486" t="s">
        <v>2165</v>
      </c>
      <c r="AB14" s="483"/>
      <c r="AC14" s="483"/>
      <c r="AD14" s="483"/>
    </row>
    <row r="15" spans="1:34" ht="108" customHeight="1">
      <c r="A15" s="1581"/>
      <c r="B15" s="521">
        <v>5</v>
      </c>
      <c r="C15" s="1588"/>
      <c r="D15" s="1588"/>
      <c r="E15" s="1588"/>
      <c r="F15" s="1588"/>
      <c r="G15" s="1588"/>
      <c r="H15" s="1582" t="s">
        <v>2166</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80"/>
      <c r="P15" s="481"/>
      <c r="Q15" s="481"/>
      <c r="R15" s="481"/>
      <c r="S15" s="480"/>
      <c r="T15" s="480" t="s">
        <v>2167</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1"/>
      <c r="W15" s="481"/>
      <c r="X15" s="480"/>
      <c r="Y15" s="585"/>
      <c r="Z15" s="483" t="s">
        <v>2168</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3"/>
      <c r="AC15" s="483"/>
      <c r="AD15" s="483"/>
    </row>
    <row r="16" spans="1:34" ht="108" customHeight="1">
      <c r="A16" s="521"/>
      <c r="B16" s="521">
        <v>6</v>
      </c>
      <c r="C16" s="1589"/>
      <c r="D16" s="1589"/>
      <c r="E16" s="1589"/>
      <c r="F16" s="1589"/>
      <c r="G16" s="1589"/>
      <c r="H16" s="1583"/>
      <c r="I16" s="550"/>
      <c r="J16" s="550"/>
      <c r="K16" s="550"/>
      <c r="L16" s="550"/>
      <c r="M16" s="517"/>
      <c r="N16" s="48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80"/>
      <c r="P16" s="481"/>
      <c r="Q16" s="481"/>
      <c r="R16" s="481"/>
      <c r="S16" s="480"/>
      <c r="T16" s="480"/>
      <c r="U16" s="481"/>
      <c r="V16" s="481"/>
      <c r="W16" s="481"/>
      <c r="X16" s="480"/>
      <c r="Y16" s="585"/>
      <c r="Z16" s="483" t="s">
        <v>2168</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1800</v>
      </c>
      <c r="B18" s="521">
        <v>1</v>
      </c>
      <c r="C18" s="480" t="s">
        <v>2152</v>
      </c>
      <c r="D18" s="555" t="s">
        <v>2152</v>
      </c>
      <c r="E18" s="480" t="s">
        <v>2152</v>
      </c>
      <c r="F18" s="480" t="s">
        <v>2152</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холодного водоснабжения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холодного водоснабжения</v>
      </c>
      <c r="N18" s="481" t="str">
        <f t="shared" ref="N18:N49" si="6">IF(K18=0,"",K18)</f>
        <v>Указывается выручка с распределением по видам деятельности.</v>
      </c>
      <c r="O18" s="545">
        <v>1</v>
      </c>
      <c r="P18" s="545">
        <v>1</v>
      </c>
      <c r="Q18" s="545">
        <v>1</v>
      </c>
      <c r="R18" s="545">
        <v>1</v>
      </c>
      <c r="S18" s="545"/>
      <c r="T18" s="552" t="s">
        <v>2169</v>
      </c>
      <c r="U18" s="483" t="s">
        <v>2170</v>
      </c>
      <c r="V18" s="483" t="s">
        <v>2171</v>
      </c>
      <c r="W18" s="483" t="s">
        <v>2172</v>
      </c>
      <c r="X18" s="480"/>
      <c r="Y18" s="585"/>
      <c r="Z18" s="483" t="s">
        <v>2173</v>
      </c>
      <c r="AA18" s="486" t="s">
        <v>2174</v>
      </c>
      <c r="AB18" s="486" t="s">
        <v>2174</v>
      </c>
      <c r="AC18" s="486" t="s">
        <v>2174</v>
      </c>
      <c r="AD18" s="483"/>
    </row>
    <row r="19" spans="1:30" ht="36" customHeight="1">
      <c r="A19" s="482"/>
      <c r="B19" s="521">
        <v>2</v>
      </c>
      <c r="C19" s="480" t="s">
        <v>2156</v>
      </c>
      <c r="D19" s="555" t="s">
        <v>2156</v>
      </c>
      <c r="E19" s="480" t="s">
        <v>2156</v>
      </c>
      <c r="F19" s="480" t="s">
        <v>2156</v>
      </c>
      <c r="G19" s="480"/>
      <c r="H19" s="587"/>
      <c r="I19" s="588">
        <f t="shared" si="1"/>
        <v>2</v>
      </c>
      <c r="J19" s="588" t="str">
        <f t="shared" si="2"/>
        <v>Себестоимость производимых товаров (оказываемых услуг) по регулируемым видам деятельности в сфере холодного водоснабжения,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холодного водоснабжения, включая:</v>
      </c>
      <c r="N19" s="481" t="str">
        <f t="shared" si="6"/>
        <v>Указывается суммарная себестоимость производимых товаров.</v>
      </c>
      <c r="O19" s="545">
        <v>2</v>
      </c>
      <c r="P19" s="545">
        <v>2</v>
      </c>
      <c r="Q19" s="545">
        <v>2</v>
      </c>
      <c r="R19" s="545">
        <v>2</v>
      </c>
      <c r="S19" s="545"/>
      <c r="T19" s="552" t="s">
        <v>2175</v>
      </c>
      <c r="U19" s="483" t="s">
        <v>2176</v>
      </c>
      <c r="V19" s="483" t="s">
        <v>2177</v>
      </c>
      <c r="W19" s="483" t="s">
        <v>2178</v>
      </c>
      <c r="X19" s="480"/>
      <c r="Y19" s="585"/>
      <c r="Z19" s="483" t="s">
        <v>2179</v>
      </c>
      <c r="AA19" s="486" t="s">
        <v>2179</v>
      </c>
      <c r="AB19" s="486" t="s">
        <v>2179</v>
      </c>
      <c r="AC19" s="486" t="s">
        <v>2179</v>
      </c>
      <c r="AD19" s="483"/>
    </row>
    <row r="20" spans="1:30" ht="27" customHeight="1">
      <c r="A20" s="482"/>
      <c r="B20" s="521">
        <v>3</v>
      </c>
      <c r="C20" s="480">
        <v>1</v>
      </c>
      <c r="D20" s="555"/>
      <c r="E20" s="480"/>
      <c r="F20" s="480"/>
      <c r="G20" s="480"/>
      <c r="H20" s="587"/>
      <c r="I20" s="588" t="str">
        <f t="shared" si="1"/>
        <v>2.1</v>
      </c>
      <c r="J20" s="588" t="str">
        <f t="shared" si="2"/>
        <v>Расходы на оплату холодной воды, приобретаемой у других организаций для последующей подачи потребителям</v>
      </c>
      <c r="K20" s="588">
        <f t="shared" si="3"/>
        <v>0</v>
      </c>
      <c r="L20" s="481" t="str">
        <f t="shared" si="4"/>
        <v>2.1</v>
      </c>
      <c r="M20" s="481" t="str">
        <f t="shared" si="5"/>
        <v>Расходы на оплату холодной воды, приобретаемой у других организаций для последующей подачи потребителям</v>
      </c>
      <c r="N20" s="481" t="str">
        <f t="shared" si="6"/>
        <v/>
      </c>
      <c r="O20" s="545" t="s">
        <v>725</v>
      </c>
      <c r="P20" s="545" t="s">
        <v>725</v>
      </c>
      <c r="Q20" s="545" t="s">
        <v>725</v>
      </c>
      <c r="R20" s="545" t="s">
        <v>725</v>
      </c>
      <c r="S20" s="545"/>
      <c r="T20" s="552" t="s">
        <v>2180</v>
      </c>
      <c r="U20" s="483" t="s">
        <v>2181</v>
      </c>
      <c r="V20" s="483" t="s">
        <v>2182</v>
      </c>
      <c r="W20" s="483" t="s">
        <v>2183</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313</v>
      </c>
      <c r="P21" s="545"/>
      <c r="Q21" s="545"/>
      <c r="R21" s="545"/>
      <c r="S21" s="545"/>
      <c r="T21" s="552" t="s">
        <v>2184</v>
      </c>
      <c r="U21" s="483"/>
      <c r="V21" s="483"/>
      <c r="W21" s="483"/>
      <c r="X21" s="480"/>
      <c r="Y21" s="585"/>
      <c r="Z21" s="483" t="s">
        <v>2185</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313</v>
      </c>
      <c r="R22" s="545"/>
      <c r="S22" s="545"/>
      <c r="T22" s="552"/>
      <c r="U22" s="483"/>
      <c r="V22" s="483" t="s">
        <v>2186</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316</v>
      </c>
      <c r="R23" s="545"/>
      <c r="S23" s="545"/>
      <c r="T23" s="552"/>
      <c r="U23" s="483"/>
      <c r="V23" s="483" t="s">
        <v>2187</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745</v>
      </c>
      <c r="R24" s="545"/>
      <c r="S24" s="545"/>
      <c r="T24" s="552"/>
      <c r="U24" s="483"/>
      <c r="V24" s="483" t="s">
        <v>2188</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2.2</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5" t="s">
        <v>316</v>
      </c>
      <c r="P25" s="545" t="s">
        <v>313</v>
      </c>
      <c r="Q25" s="545" t="s">
        <v>752</v>
      </c>
      <c r="R25" s="545" t="s">
        <v>313</v>
      </c>
      <c r="S25" s="545"/>
      <c r="T25" s="552" t="s">
        <v>2189</v>
      </c>
      <c r="U25" s="483" t="s">
        <v>2189</v>
      </c>
      <c r="V25" s="483" t="s">
        <v>2189</v>
      </c>
      <c r="W25" s="483" t="s">
        <v>2189</v>
      </c>
      <c r="X25" s="480"/>
      <c r="Y25" s="585"/>
      <c r="Z25" s="483"/>
      <c r="AA25" s="486"/>
      <c r="AB25" s="483"/>
      <c r="AC25" s="483"/>
      <c r="AD25" s="483"/>
    </row>
    <row r="26" spans="1:30" ht="18" customHeight="1">
      <c r="A26" s="482"/>
      <c r="B26" s="521">
        <v>9</v>
      </c>
      <c r="C26" s="480" t="s">
        <v>669</v>
      </c>
      <c r="D26" s="555"/>
      <c r="E26" s="480"/>
      <c r="F26" s="480"/>
      <c r="G26" s="516"/>
      <c r="H26" s="546"/>
      <c r="I26" s="588" t="str">
        <f t="shared" si="1"/>
        <v>2.2.1</v>
      </c>
      <c r="J26" s="588" t="str">
        <f t="shared" si="2"/>
        <v>Средневзвешенная стоимость 1 кВт.ч (с учетом мощности)</v>
      </c>
      <c r="K26" s="588">
        <f t="shared" si="3"/>
        <v>0</v>
      </c>
      <c r="L26" s="481" t="str">
        <f t="shared" si="4"/>
        <v>2.2.1</v>
      </c>
      <c r="M26" s="481" t="str">
        <f t="shared" si="5"/>
        <v>Средневзвешенная стоимость 1 кВт.ч (с учетом мощности)</v>
      </c>
      <c r="N26" s="481" t="str">
        <f t="shared" si="6"/>
        <v/>
      </c>
      <c r="O26" s="545" t="s">
        <v>741</v>
      </c>
      <c r="P26" s="545" t="s">
        <v>735</v>
      </c>
      <c r="Q26" s="545" t="s">
        <v>2190</v>
      </c>
      <c r="R26" s="545" t="s">
        <v>735</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2191</v>
      </c>
      <c r="V26" s="552" t="s">
        <v>2191</v>
      </c>
      <c r="W26" s="552" t="s">
        <v>2191</v>
      </c>
      <c r="X26" s="480"/>
      <c r="Y26" s="585"/>
      <c r="Z26" s="483"/>
      <c r="AA26" s="486"/>
      <c r="AB26" s="483"/>
      <c r="AC26" s="483"/>
      <c r="AD26" s="483"/>
    </row>
    <row r="27" spans="1:30" ht="18" customHeight="1">
      <c r="A27" s="482"/>
      <c r="B27" s="521">
        <v>10</v>
      </c>
      <c r="C27" s="480" t="s">
        <v>673</v>
      </c>
      <c r="D27" s="555"/>
      <c r="E27" s="480"/>
      <c r="F27" s="480"/>
      <c r="G27" s="516"/>
      <c r="H27" s="546"/>
      <c r="I27" s="588" t="str">
        <f t="shared" si="1"/>
        <v>2.2.2</v>
      </c>
      <c r="J27" s="588" t="str">
        <f t="shared" si="2"/>
        <v>Объём приобретения электрической энергии</v>
      </c>
      <c r="K27" s="588">
        <f t="shared" si="3"/>
        <v>0</v>
      </c>
      <c r="L27" s="481" t="str">
        <f t="shared" si="4"/>
        <v>2.2.2</v>
      </c>
      <c r="M27" s="481" t="str">
        <f t="shared" si="5"/>
        <v>Объём приобретения электрической энергии</v>
      </c>
      <c r="N27" s="481" t="str">
        <f t="shared" si="6"/>
        <v/>
      </c>
      <c r="O27" s="545" t="s">
        <v>743</v>
      </c>
      <c r="P27" s="545" t="s">
        <v>737</v>
      </c>
      <c r="Q27" s="545" t="s">
        <v>2192</v>
      </c>
      <c r="R27" s="545" t="s">
        <v>737</v>
      </c>
      <c r="S27" s="545"/>
      <c r="T27" s="552" t="s">
        <v>2193</v>
      </c>
      <c r="U27" s="552" t="s">
        <v>2193</v>
      </c>
      <c r="V27" s="552" t="s">
        <v>2193</v>
      </c>
      <c r="W27" s="552" t="s">
        <v>2193</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745</v>
      </c>
      <c r="P28" s="545"/>
      <c r="Q28" s="545"/>
      <c r="R28" s="545"/>
      <c r="S28" s="545"/>
      <c r="T28" s="552" t="s">
        <v>2194</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2.3</v>
      </c>
      <c r="J29" s="588" t="str">
        <f t="shared" si="2"/>
        <v>Расходы на химические реагенты, используемые в технологическом процессе</v>
      </c>
      <c r="K29" s="588">
        <f t="shared" si="3"/>
        <v>0</v>
      </c>
      <c r="L29" s="481" t="str">
        <f t="shared" si="4"/>
        <v>2.3</v>
      </c>
      <c r="M29" s="481" t="str">
        <f t="shared" si="5"/>
        <v>Расходы на химические реагенты, используемые в технологическом процессе</v>
      </c>
      <c r="N29" s="481" t="str">
        <f t="shared" si="6"/>
        <v/>
      </c>
      <c r="O29" s="545" t="s">
        <v>752</v>
      </c>
      <c r="P29" s="545" t="s">
        <v>316</v>
      </c>
      <c r="Q29" s="545"/>
      <c r="R29" s="545" t="s">
        <v>316</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2195</v>
      </c>
      <c r="V29" s="483"/>
      <c r="W29" s="483" t="s">
        <v>2195</v>
      </c>
      <c r="X29" s="480"/>
      <c r="Y29" s="585"/>
      <c r="Z29" s="483"/>
      <c r="AA29" s="486"/>
      <c r="AB29" s="483"/>
      <c r="AC29" s="483"/>
      <c r="AD29" s="483"/>
    </row>
    <row r="30" spans="1:30" ht="54" customHeight="1">
      <c r="A30" s="482"/>
      <c r="B30" s="521">
        <v>13</v>
      </c>
      <c r="C30" s="480">
        <v>9</v>
      </c>
      <c r="D30" s="555"/>
      <c r="E30" s="480"/>
      <c r="F30" s="480"/>
      <c r="G30" s="516"/>
      <c r="H30" s="546"/>
      <c r="I30" s="588" t="str">
        <f t="shared" si="1"/>
        <v>2.4</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754</v>
      </c>
      <c r="P30" s="545" t="s">
        <v>745</v>
      </c>
      <c r="Q30" s="545" t="s">
        <v>754</v>
      </c>
      <c r="R30" s="545" t="s">
        <v>745</v>
      </c>
      <c r="S30" s="545"/>
      <c r="T30" s="552" t="s">
        <v>2196</v>
      </c>
      <c r="U30" s="483" t="s">
        <v>2196</v>
      </c>
      <c r="V30" s="483" t="s">
        <v>2196</v>
      </c>
      <c r="W30" s="483" t="s">
        <v>2196</v>
      </c>
      <c r="X30" s="480"/>
      <c r="Y30" s="585"/>
      <c r="Z30" s="483"/>
      <c r="AA30" s="486" t="s">
        <v>2197</v>
      </c>
      <c r="AB30" s="486" t="s">
        <v>2197</v>
      </c>
      <c r="AC30" s="486" t="s">
        <v>2197</v>
      </c>
      <c r="AD30" s="483"/>
    </row>
    <row r="31" spans="1:30" ht="18" customHeight="1">
      <c r="A31" s="482"/>
      <c r="B31" s="521">
        <v>14</v>
      </c>
      <c r="C31" s="480" t="s">
        <v>2198</v>
      </c>
      <c r="D31" s="555"/>
      <c r="E31" s="480"/>
      <c r="F31" s="480"/>
      <c r="G31" s="516"/>
      <c r="H31" s="546"/>
      <c r="I31" s="588" t="str">
        <f t="shared" si="1"/>
        <v>2.4.1</v>
      </c>
      <c r="J31" s="588" t="str">
        <f t="shared" si="2"/>
        <v>Расходы на оплату труда основного производственного персонала</v>
      </c>
      <c r="K31" s="588">
        <f t="shared" si="3"/>
        <v>0</v>
      </c>
      <c r="L31" s="481" t="str">
        <f t="shared" si="4"/>
        <v>2.4.1</v>
      </c>
      <c r="M31" s="481" t="str">
        <f t="shared" si="5"/>
        <v>Расходы на оплату труда основного производственного персонала</v>
      </c>
      <c r="N31" s="481" t="str">
        <f t="shared" si="6"/>
        <v/>
      </c>
      <c r="O31" s="545" t="s">
        <v>2199</v>
      </c>
      <c r="P31" s="545" t="s">
        <v>748</v>
      </c>
      <c r="Q31" s="545" t="s">
        <v>2199</v>
      </c>
      <c r="R31" s="545" t="s">
        <v>748</v>
      </c>
      <c r="S31" s="545"/>
      <c r="T31" s="553" t="s">
        <v>2200</v>
      </c>
      <c r="U31" s="483" t="s">
        <v>2200</v>
      </c>
      <c r="V31" s="483" t="s">
        <v>2200</v>
      </c>
      <c r="W31" s="483" t="s">
        <v>2200</v>
      </c>
      <c r="X31" s="480"/>
      <c r="Y31" s="585"/>
      <c r="Z31" s="483"/>
      <c r="AA31" s="486"/>
      <c r="AB31" s="486"/>
      <c r="AC31" s="486"/>
      <c r="AD31" s="483"/>
    </row>
    <row r="32" spans="1:30" ht="36" customHeight="1">
      <c r="A32" s="482"/>
      <c r="B32" s="521">
        <v>15</v>
      </c>
      <c r="C32" s="480" t="s">
        <v>2201</v>
      </c>
      <c r="D32" s="555"/>
      <c r="E32" s="480"/>
      <c r="F32" s="480"/>
      <c r="G32" s="516"/>
      <c r="H32" s="546"/>
      <c r="I32" s="588" t="str">
        <f t="shared" si="1"/>
        <v>2.4.2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2202</v>
      </c>
      <c r="P32" s="545" t="s">
        <v>750</v>
      </c>
      <c r="Q32" s="545" t="s">
        <v>2202</v>
      </c>
      <c r="R32" s="545" t="s">
        <v>750</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2203</v>
      </c>
      <c r="V32" s="483" t="s">
        <v>2203</v>
      </c>
      <c r="W32" s="483" t="s">
        <v>2203</v>
      </c>
      <c r="X32" s="480"/>
      <c r="Y32" s="585"/>
      <c r="Z32" s="483"/>
      <c r="AA32" s="486"/>
      <c r="AB32" s="486"/>
      <c r="AC32" s="486"/>
      <c r="AD32" s="483"/>
    </row>
    <row r="33" spans="1:30" ht="45" customHeight="1">
      <c r="A33" s="482"/>
      <c r="B33" s="521">
        <v>16</v>
      </c>
      <c r="C33" s="480">
        <v>10</v>
      </c>
      <c r="D33" s="555"/>
      <c r="E33" s="480"/>
      <c r="F33" s="480"/>
      <c r="G33" s="516"/>
      <c r="H33" s="546"/>
      <c r="I33" s="588" t="str">
        <f t="shared" si="1"/>
        <v>2.5</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756</v>
      </c>
      <c r="P33" s="545" t="s">
        <v>752</v>
      </c>
      <c r="Q33" s="545" t="s">
        <v>756</v>
      </c>
      <c r="R33" s="545" t="s">
        <v>752</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2204</v>
      </c>
      <c r="V33" s="483" t="s">
        <v>2204</v>
      </c>
      <c r="W33" s="483" t="s">
        <v>2205</v>
      </c>
      <c r="X33" s="480"/>
      <c r="Y33" s="585"/>
      <c r="Z33" s="483"/>
      <c r="AA33" s="486" t="s">
        <v>2206</v>
      </c>
      <c r="AB33" s="486" t="s">
        <v>2206</v>
      </c>
      <c r="AC33" s="486" t="s">
        <v>2206</v>
      </c>
      <c r="AD33" s="483"/>
    </row>
    <row r="34" spans="1:30" ht="27" customHeight="1">
      <c r="A34" s="482"/>
      <c r="B34" s="521">
        <v>17</v>
      </c>
      <c r="C34" s="480" t="s">
        <v>2207</v>
      </c>
      <c r="D34" s="555"/>
      <c r="E34" s="480"/>
      <c r="F34" s="480"/>
      <c r="G34" s="516"/>
      <c r="H34" s="546"/>
      <c r="I34" s="588" t="str">
        <f t="shared" si="1"/>
        <v>2.5.1</v>
      </c>
      <c r="J34" s="588" t="str">
        <f t="shared" si="2"/>
        <v>Расходы на оплату труда административно-управленческого персонала</v>
      </c>
      <c r="K34" s="588">
        <f t="shared" si="3"/>
        <v>0</v>
      </c>
      <c r="L34" s="481" t="str">
        <f t="shared" si="4"/>
        <v>2.5.1</v>
      </c>
      <c r="M34" s="481" t="str">
        <f t="shared" si="5"/>
        <v>Расходы на оплату труда административно-управленческого персонала</v>
      </c>
      <c r="N34" s="481" t="str">
        <f t="shared" si="6"/>
        <v/>
      </c>
      <c r="O34" s="545" t="s">
        <v>2208</v>
      </c>
      <c r="P34" s="545" t="s">
        <v>2190</v>
      </c>
      <c r="Q34" s="545" t="s">
        <v>2208</v>
      </c>
      <c r="R34" s="545" t="s">
        <v>2190</v>
      </c>
      <c r="S34" s="545"/>
      <c r="T34" s="554" t="s">
        <v>2209</v>
      </c>
      <c r="U34" s="483" t="s">
        <v>2209</v>
      </c>
      <c r="V34" s="483" t="s">
        <v>2209</v>
      </c>
      <c r="W34" s="483" t="s">
        <v>2210</v>
      </c>
      <c r="X34" s="480"/>
      <c r="Y34" s="585"/>
      <c r="Z34" s="483"/>
      <c r="AA34" s="486"/>
      <c r="AB34" s="483"/>
      <c r="AC34" s="483"/>
      <c r="AD34" s="483"/>
    </row>
    <row r="35" spans="1:30" ht="45" customHeight="1">
      <c r="A35" s="482"/>
      <c r="B35" s="521">
        <v>18</v>
      </c>
      <c r="C35" s="480" t="s">
        <v>2211</v>
      </c>
      <c r="D35" s="555"/>
      <c r="E35" s="480"/>
      <c r="F35" s="480"/>
      <c r="G35" s="516"/>
      <c r="H35" s="546"/>
      <c r="I35" s="588" t="str">
        <f t="shared" si="1"/>
        <v>2.5.2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2212</v>
      </c>
      <c r="P35" s="545" t="s">
        <v>2192</v>
      </c>
      <c r="Q35" s="545" t="s">
        <v>2212</v>
      </c>
      <c r="R35" s="545" t="s">
        <v>2192</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2213</v>
      </c>
      <c r="V35" s="483" t="s">
        <v>2213</v>
      </c>
      <c r="W35" s="483" t="s">
        <v>2213</v>
      </c>
      <c r="X35" s="480"/>
      <c r="Y35" s="585"/>
      <c r="Z35" s="483"/>
      <c r="AA35" s="486"/>
      <c r="AB35" s="483"/>
      <c r="AC35" s="483"/>
      <c r="AD35" s="483"/>
    </row>
    <row r="36" spans="1:30" ht="18" customHeight="1">
      <c r="A36" s="482"/>
      <c r="B36" s="521">
        <v>19</v>
      </c>
      <c r="C36" s="480">
        <v>11</v>
      </c>
      <c r="D36" s="555"/>
      <c r="E36" s="480"/>
      <c r="F36" s="480"/>
      <c r="G36" s="516"/>
      <c r="H36" s="546"/>
      <c r="I36" s="588" t="str">
        <f t="shared" si="1"/>
        <v>2.6</v>
      </c>
      <c r="J36" s="588" t="str">
        <f t="shared" si="2"/>
        <v>Расходы на амортизацию основных средств и нематериальных активов</v>
      </c>
      <c r="K36" s="588">
        <f t="shared" si="3"/>
        <v>0</v>
      </c>
      <c r="L36" s="481" t="str">
        <f t="shared" si="4"/>
        <v>2.6</v>
      </c>
      <c r="M36" s="481" t="str">
        <f t="shared" si="5"/>
        <v>Расходы на амортизацию основных средств и нематериальных активов</v>
      </c>
      <c r="N36" s="481" t="str">
        <f t="shared" si="6"/>
        <v/>
      </c>
      <c r="O36" s="545" t="s">
        <v>758</v>
      </c>
      <c r="P36" s="545" t="s">
        <v>754</v>
      </c>
      <c r="Q36" s="545" t="s">
        <v>758</v>
      </c>
      <c r="R36" s="545" t="s">
        <v>754</v>
      </c>
      <c r="S36" s="545"/>
      <c r="T36" s="552" t="s">
        <v>2214</v>
      </c>
      <c r="U36" s="483" t="s">
        <v>2214</v>
      </c>
      <c r="V36" s="483" t="s">
        <v>2214</v>
      </c>
      <c r="W36" s="483" t="s">
        <v>2214</v>
      </c>
      <c r="X36" s="480"/>
      <c r="Y36" s="585"/>
      <c r="Z36" s="483"/>
      <c r="AA36" s="486"/>
      <c r="AB36" s="483"/>
      <c r="AC36" s="483"/>
      <c r="AD36" s="483"/>
    </row>
    <row r="37" spans="1:30" ht="18" customHeight="1">
      <c r="A37" s="482"/>
      <c r="B37" s="521">
        <v>20</v>
      </c>
      <c r="C37" s="480" t="s">
        <v>2215</v>
      </c>
      <c r="D37" s="555"/>
      <c r="E37" s="480"/>
      <c r="F37" s="480"/>
      <c r="G37" s="516"/>
      <c r="H37" s="546"/>
      <c r="I37" s="588" t="str">
        <f t="shared" si="1"/>
        <v>2.6.1</v>
      </c>
      <c r="J37" s="588" t="str">
        <f t="shared" si="2"/>
        <v>Расходы на амортизацию основных средств</v>
      </c>
      <c r="K37" s="588">
        <f t="shared" si="3"/>
        <v>0</v>
      </c>
      <c r="L37" s="481" t="str">
        <f t="shared" si="4"/>
        <v>2.6.1</v>
      </c>
      <c r="M37" s="481" t="str">
        <f t="shared" si="5"/>
        <v>Расходы на амортизацию основных средств</v>
      </c>
      <c r="N37" s="481" t="str">
        <f t="shared" si="6"/>
        <v/>
      </c>
      <c r="O37" s="545" t="s">
        <v>2216</v>
      </c>
      <c r="P37" s="545" t="s">
        <v>2199</v>
      </c>
      <c r="Q37" s="545" t="s">
        <v>2216</v>
      </c>
      <c r="R37" s="545" t="s">
        <v>2199</v>
      </c>
      <c r="S37" s="545"/>
      <c r="T37" s="552" t="s">
        <v>2217</v>
      </c>
      <c r="U37" s="483" t="s">
        <v>2217</v>
      </c>
      <c r="V37" s="483" t="s">
        <v>2217</v>
      </c>
      <c r="W37" s="483" t="s">
        <v>2217</v>
      </c>
      <c r="X37" s="480"/>
      <c r="Y37" s="585"/>
      <c r="Z37" s="483"/>
      <c r="AA37" s="486"/>
      <c r="AB37" s="483"/>
      <c r="AC37" s="483"/>
      <c r="AD37" s="483"/>
    </row>
    <row r="38" spans="1:30" ht="18" customHeight="1">
      <c r="A38" s="482"/>
      <c r="B38" s="521">
        <v>21</v>
      </c>
      <c r="C38" s="480" t="s">
        <v>2218</v>
      </c>
      <c r="D38" s="555"/>
      <c r="E38" s="480"/>
      <c r="F38" s="480"/>
      <c r="G38" s="516"/>
      <c r="H38" s="546"/>
      <c r="I38" s="588" t="str">
        <f t="shared" si="1"/>
        <v>2.6.2</v>
      </c>
      <c r="J38" s="588" t="str">
        <f t="shared" si="2"/>
        <v>Расходы на амортизацию нематериальных активов</v>
      </c>
      <c r="K38" s="588">
        <f t="shared" si="3"/>
        <v>0</v>
      </c>
      <c r="L38" s="481" t="str">
        <f t="shared" si="4"/>
        <v>2.6.2</v>
      </c>
      <c r="M38" s="481" t="str">
        <f t="shared" si="5"/>
        <v>Расходы на амортизацию нематериальных активов</v>
      </c>
      <c r="N38" s="481" t="str">
        <f t="shared" si="6"/>
        <v/>
      </c>
      <c r="O38" s="545" t="s">
        <v>2219</v>
      </c>
      <c r="P38" s="545" t="s">
        <v>2202</v>
      </c>
      <c r="Q38" s="545" t="s">
        <v>2219</v>
      </c>
      <c r="R38" s="545" t="s">
        <v>2202</v>
      </c>
      <c r="S38" s="545"/>
      <c r="T38" s="552" t="s">
        <v>2220</v>
      </c>
      <c r="U38" s="483" t="s">
        <v>2220</v>
      </c>
      <c r="V38" s="483" t="s">
        <v>2220</v>
      </c>
      <c r="W38" s="483" t="s">
        <v>2220</v>
      </c>
      <c r="X38" s="480"/>
      <c r="Y38" s="585"/>
      <c r="Z38" s="483"/>
      <c r="AA38" s="486"/>
      <c r="AB38" s="483"/>
      <c r="AC38" s="483"/>
      <c r="AD38" s="483"/>
    </row>
    <row r="39" spans="1:30" ht="36" customHeight="1">
      <c r="A39" s="482"/>
      <c r="B39" s="521">
        <v>22</v>
      </c>
      <c r="C39" s="480">
        <v>12</v>
      </c>
      <c r="D39" s="555"/>
      <c r="E39" s="480"/>
      <c r="F39" s="480"/>
      <c r="G39" s="516"/>
      <c r="H39" s="546"/>
      <c r="I39" s="588" t="str">
        <f t="shared" si="1"/>
        <v>2.7</v>
      </c>
      <c r="J39" s="588" t="str">
        <f t="shared" si="2"/>
        <v>Расходы на аренду имущества, используемого для осуществления регулируемых видов деятельности в сфере холодного водоснабжения</v>
      </c>
      <c r="K39" s="588">
        <f t="shared" si="3"/>
        <v>0</v>
      </c>
      <c r="L39" s="481" t="str">
        <f t="shared" si="4"/>
        <v>2.7</v>
      </c>
      <c r="M39" s="481" t="str">
        <f t="shared" si="5"/>
        <v>Расходы на аренду имущества, используемого для осуществления регулируемых видов деятельности в сфере холодного водоснабжения</v>
      </c>
      <c r="N39" s="481" t="str">
        <f t="shared" si="6"/>
        <v/>
      </c>
      <c r="O39" s="545" t="s">
        <v>762</v>
      </c>
      <c r="P39" s="545" t="s">
        <v>756</v>
      </c>
      <c r="Q39" s="545" t="s">
        <v>762</v>
      </c>
      <c r="R39" s="545" t="s">
        <v>756</v>
      </c>
      <c r="S39" s="545"/>
      <c r="T39" s="552" t="s">
        <v>2221</v>
      </c>
      <c r="U39" s="483" t="s">
        <v>2222</v>
      </c>
      <c r="V39" s="483" t="s">
        <v>2223</v>
      </c>
      <c r="W39" s="483" t="s">
        <v>2224</v>
      </c>
      <c r="X39" s="480"/>
      <c r="Y39" s="585"/>
      <c r="Z39" s="483"/>
      <c r="AA39" s="486"/>
      <c r="AB39" s="483"/>
      <c r="AC39" s="483"/>
      <c r="AD39" s="483"/>
    </row>
    <row r="40" spans="1:30" ht="18" customHeight="1">
      <c r="A40" s="482"/>
      <c r="B40" s="521">
        <v>23</v>
      </c>
      <c r="C40" s="480">
        <v>13</v>
      </c>
      <c r="D40" s="555"/>
      <c r="E40" s="480"/>
      <c r="F40" s="480"/>
      <c r="G40" s="480"/>
      <c r="H40" s="519"/>
      <c r="I40" s="588" t="str">
        <f t="shared" si="1"/>
        <v>2.8</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5" t="s">
        <v>814</v>
      </c>
      <c r="P40" s="545" t="s">
        <v>758</v>
      </c>
      <c r="Q40" s="545" t="s">
        <v>814</v>
      </c>
      <c r="R40" s="545" t="s">
        <v>758</v>
      </c>
      <c r="S40" s="545"/>
      <c r="T40" s="480" t="s">
        <v>2225</v>
      </c>
      <c r="U40" s="480" t="s">
        <v>2225</v>
      </c>
      <c r="V40" s="480" t="s">
        <v>2225</v>
      </c>
      <c r="W40" s="480" t="s">
        <v>2225</v>
      </c>
      <c r="X40" s="480"/>
      <c r="Y40" s="585"/>
      <c r="Z40" s="483" t="s">
        <v>2226</v>
      </c>
      <c r="AA40" s="486" t="s">
        <v>2226</v>
      </c>
      <c r="AB40" s="486" t="s">
        <v>2226</v>
      </c>
      <c r="AC40" s="486" t="s">
        <v>2226</v>
      </c>
      <c r="AD40" s="483"/>
    </row>
    <row r="41" spans="1:30" ht="27" customHeight="1">
      <c r="A41" s="482"/>
      <c r="B41" s="521">
        <v>24</v>
      </c>
      <c r="C41" s="480" t="s">
        <v>2227</v>
      </c>
      <c r="D41" s="555"/>
      <c r="E41" s="480"/>
      <c r="F41" s="480"/>
      <c r="G41" s="480"/>
      <c r="H41" s="516"/>
      <c r="I41" s="588" t="str">
        <f t="shared" si="1"/>
        <v>2.8.1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2228</v>
      </c>
      <c r="P41" s="545" t="s">
        <v>2216</v>
      </c>
      <c r="Q41" s="545" t="s">
        <v>2228</v>
      </c>
      <c r="R41" s="545" t="s">
        <v>2216</v>
      </c>
      <c r="S41" s="545"/>
      <c r="T41" s="480" t="s">
        <v>2229</v>
      </c>
      <c r="U41" s="480" t="s">
        <v>2229</v>
      </c>
      <c r="V41" s="480" t="s">
        <v>2229</v>
      </c>
      <c r="W41" s="480" t="s">
        <v>2229</v>
      </c>
      <c r="X41" s="480"/>
      <c r="Y41" s="585"/>
      <c r="Z41" s="483" t="s">
        <v>2230</v>
      </c>
      <c r="AA41" s="483" t="s">
        <v>2230</v>
      </c>
      <c r="AB41" s="483" t="s">
        <v>2230</v>
      </c>
      <c r="AC41" s="483" t="s">
        <v>2230</v>
      </c>
      <c r="AD41" s="483"/>
    </row>
    <row r="42" spans="1:30" ht="27" customHeight="1">
      <c r="A42" s="482"/>
      <c r="B42" s="521">
        <v>25</v>
      </c>
      <c r="C42" s="480" t="s">
        <v>2231</v>
      </c>
      <c r="D42" s="555"/>
      <c r="E42" s="480"/>
      <c r="F42" s="480"/>
      <c r="G42" s="480"/>
      <c r="H42" s="516"/>
      <c r="I42" s="588" t="str">
        <f t="shared" si="1"/>
        <v>2.8.2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2232</v>
      </c>
      <c r="P42" s="545" t="s">
        <v>2219</v>
      </c>
      <c r="Q42" s="545" t="s">
        <v>2232</v>
      </c>
      <c r="R42" s="545" t="s">
        <v>2219</v>
      </c>
      <c r="S42" s="545"/>
      <c r="T42" s="480" t="s">
        <v>2233</v>
      </c>
      <c r="U42" s="480" t="s">
        <v>2233</v>
      </c>
      <c r="V42" s="480" t="s">
        <v>2233</v>
      </c>
      <c r="W42" s="480" t="s">
        <v>2233</v>
      </c>
      <c r="X42" s="480"/>
      <c r="Y42" s="585"/>
      <c r="Z42" s="483" t="s">
        <v>2234</v>
      </c>
      <c r="AA42" s="483" t="s">
        <v>2234</v>
      </c>
      <c r="AB42" s="483" t="s">
        <v>2234</v>
      </c>
      <c r="AC42" s="483" t="s">
        <v>2234</v>
      </c>
      <c r="AD42" s="483"/>
    </row>
    <row r="43" spans="1:30" ht="18" customHeight="1">
      <c r="A43" s="482"/>
      <c r="B43" s="521">
        <v>26</v>
      </c>
      <c r="C43" s="480">
        <v>14</v>
      </c>
      <c r="D43" s="555"/>
      <c r="E43" s="480"/>
      <c r="F43" s="480"/>
      <c r="G43" s="480"/>
      <c r="H43" s="516"/>
      <c r="I43" s="588" t="str">
        <f t="shared" si="1"/>
        <v>2.9</v>
      </c>
      <c r="J43" s="588" t="str">
        <f t="shared" si="2"/>
        <v>Общехозяйственные расходы, в том числе:</v>
      </c>
      <c r="K43" s="588"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5" t="s">
        <v>2235</v>
      </c>
      <c r="P43" s="545" t="s">
        <v>762</v>
      </c>
      <c r="Q43" s="545" t="s">
        <v>2235</v>
      </c>
      <c r="R43" s="545" t="s">
        <v>762</v>
      </c>
      <c r="S43" s="545"/>
      <c r="T43" s="480" t="s">
        <v>2236</v>
      </c>
      <c r="U43" s="480" t="s">
        <v>2236</v>
      </c>
      <c r="V43" s="480" t="s">
        <v>2236</v>
      </c>
      <c r="W43" s="480" t="s">
        <v>2236</v>
      </c>
      <c r="X43" s="480"/>
      <c r="Y43" s="585"/>
      <c r="Z43" s="483" t="s">
        <v>2237</v>
      </c>
      <c r="AA43" s="483" t="s">
        <v>2237</v>
      </c>
      <c r="AB43" s="483" t="s">
        <v>2237</v>
      </c>
      <c r="AC43" s="483" t="s">
        <v>2237</v>
      </c>
      <c r="AD43" s="483"/>
    </row>
    <row r="44" spans="1:30" ht="27" customHeight="1">
      <c r="A44" s="482"/>
      <c r="B44" s="521">
        <v>27</v>
      </c>
      <c r="C44" s="480" t="s">
        <v>2238</v>
      </c>
      <c r="D44" s="555"/>
      <c r="E44" s="480"/>
      <c r="F44" s="480"/>
      <c r="G44" s="480"/>
      <c r="H44" s="516"/>
      <c r="I44" s="588" t="str">
        <f t="shared" si="1"/>
        <v>2.9.1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2239</v>
      </c>
      <c r="P44" s="545" t="s">
        <v>765</v>
      </c>
      <c r="Q44" s="545" t="s">
        <v>2239</v>
      </c>
      <c r="R44" s="545" t="s">
        <v>765</v>
      </c>
      <c r="S44" s="545"/>
      <c r="T44" s="480" t="s">
        <v>2229</v>
      </c>
      <c r="U44" s="480" t="s">
        <v>2229</v>
      </c>
      <c r="V44" s="480" t="s">
        <v>2229</v>
      </c>
      <c r="W44" s="480" t="s">
        <v>2229</v>
      </c>
      <c r="X44" s="480"/>
      <c r="Y44" s="585"/>
      <c r="Z44" s="483" t="s">
        <v>2240</v>
      </c>
      <c r="AA44" s="483" t="s">
        <v>2240</v>
      </c>
      <c r="AB44" s="483" t="s">
        <v>2240</v>
      </c>
      <c r="AC44" s="483" t="s">
        <v>2240</v>
      </c>
      <c r="AD44" s="483"/>
    </row>
    <row r="45" spans="1:30" ht="27" customHeight="1">
      <c r="A45" s="482"/>
      <c r="B45" s="521">
        <v>28</v>
      </c>
      <c r="C45" s="480" t="s">
        <v>2241</v>
      </c>
      <c r="D45" s="555"/>
      <c r="E45" s="480"/>
      <c r="F45" s="480"/>
      <c r="G45" s="480"/>
      <c r="H45" s="516"/>
      <c r="I45" s="588" t="str">
        <f t="shared" si="1"/>
        <v>2.9.2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2242</v>
      </c>
      <c r="P45" s="545" t="s">
        <v>768</v>
      </c>
      <c r="Q45" s="545" t="s">
        <v>2242</v>
      </c>
      <c r="R45" s="545" t="s">
        <v>768</v>
      </c>
      <c r="S45" s="545"/>
      <c r="T45" s="480" t="s">
        <v>2233</v>
      </c>
      <c r="U45" s="480" t="s">
        <v>2233</v>
      </c>
      <c r="V45" s="480" t="s">
        <v>2233</v>
      </c>
      <c r="W45" s="480" t="s">
        <v>2233</v>
      </c>
      <c r="X45" s="480"/>
      <c r="Y45" s="585"/>
      <c r="Z45" s="483" t="s">
        <v>2243</v>
      </c>
      <c r="AA45" s="483" t="s">
        <v>2243</v>
      </c>
      <c r="AB45" s="483" t="s">
        <v>2243</v>
      </c>
      <c r="AC45" s="483" t="s">
        <v>2243</v>
      </c>
      <c r="AD45" s="483"/>
    </row>
    <row r="46" spans="1:30" ht="54" customHeight="1">
      <c r="A46" s="482"/>
      <c r="B46" s="521">
        <v>29</v>
      </c>
      <c r="C46" s="480">
        <v>15</v>
      </c>
      <c r="D46" s="555"/>
      <c r="E46" s="480"/>
      <c r="F46" s="480"/>
      <c r="G46" s="480"/>
      <c r="H46" s="516"/>
      <c r="I46" s="588" t="str">
        <f t="shared" si="1"/>
        <v>2.10</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2244</v>
      </c>
      <c r="P46" s="545" t="s">
        <v>814</v>
      </c>
      <c r="Q46" s="545" t="s">
        <v>2244</v>
      </c>
      <c r="R46" s="545" t="s">
        <v>814</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2245</v>
      </c>
      <c r="V46" s="480" t="s">
        <v>2245</v>
      </c>
      <c r="W46" s="480" t="s">
        <v>2245</v>
      </c>
      <c r="X46" s="480"/>
      <c r="Y46" s="585"/>
      <c r="Z46" s="483" t="s">
        <v>2246</v>
      </c>
      <c r="AA46" s="483" t="s">
        <v>2247</v>
      </c>
      <c r="AB46" s="483" t="s">
        <v>2247</v>
      </c>
      <c r="AC46" s="483" t="s">
        <v>2247</v>
      </c>
      <c r="AD46" s="483"/>
    </row>
    <row r="47" spans="1:30" ht="54" customHeight="1">
      <c r="A47" s="482"/>
      <c r="B47" s="521">
        <v>30</v>
      </c>
      <c r="C47" s="480" t="s">
        <v>2248</v>
      </c>
      <c r="D47" s="555"/>
      <c r="E47" s="480"/>
      <c r="F47" s="480"/>
      <c r="G47" s="480"/>
      <c r="H47" s="516"/>
      <c r="I47" s="588" t="str">
        <f t="shared" si="1"/>
        <v>2.10.1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2249</v>
      </c>
      <c r="P47" s="545" t="s">
        <v>2228</v>
      </c>
      <c r="Q47" s="545" t="s">
        <v>2249</v>
      </c>
      <c r="R47" s="545" t="s">
        <v>2228</v>
      </c>
      <c r="S47" s="545"/>
      <c r="T47" s="480" t="s">
        <v>2250</v>
      </c>
      <c r="U47" s="480" t="s">
        <v>2250</v>
      </c>
      <c r="V47" s="480" t="s">
        <v>2250</v>
      </c>
      <c r="W47" s="480" t="s">
        <v>2250</v>
      </c>
      <c r="X47" s="480"/>
      <c r="Y47" s="585"/>
      <c r="Z47" s="483"/>
      <c r="AA47" s="486"/>
      <c r="AB47" s="486"/>
      <c r="AC47" s="486"/>
      <c r="AD47" s="483"/>
    </row>
    <row r="48" spans="1:30" ht="54" customHeight="1">
      <c r="A48" s="482"/>
      <c r="B48" s="521">
        <v>31</v>
      </c>
      <c r="C48" s="480">
        <v>16</v>
      </c>
      <c r="D48" s="555"/>
      <c r="E48" s="480"/>
      <c r="F48" s="480"/>
      <c r="G48" s="480"/>
      <c r="H48" s="516"/>
      <c r="I48" s="588" t="str">
        <f t="shared" si="1"/>
        <v>2.11</v>
      </c>
      <c r="J48" s="58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2235</v>
      </c>
      <c r="Q48" s="545" t="s">
        <v>2251</v>
      </c>
      <c r="R48" s="545" t="s">
        <v>2235</v>
      </c>
      <c r="S48" s="545"/>
      <c r="T48" s="480"/>
      <c r="U48" s="480" t="s">
        <v>2252</v>
      </c>
      <c r="V48" s="480" t="s">
        <v>2253</v>
      </c>
      <c r="W48" s="480" t="s">
        <v>2253</v>
      </c>
      <c r="X48" s="480"/>
      <c r="Y48" s="585"/>
      <c r="Z48" s="483"/>
      <c r="AA48" s="486" t="s">
        <v>2247</v>
      </c>
      <c r="AB48" s="486" t="s">
        <v>2247</v>
      </c>
      <c r="AC48" s="486" t="s">
        <v>2247</v>
      </c>
      <c r="AD48" s="483"/>
    </row>
    <row r="49" spans="1:30" ht="54" customHeight="1">
      <c r="A49" s="482"/>
      <c r="B49" s="521">
        <v>32</v>
      </c>
      <c r="C49" s="480" t="s">
        <v>2254</v>
      </c>
      <c r="D49" s="555"/>
      <c r="E49" s="480"/>
      <c r="F49" s="480"/>
      <c r="G49" s="480"/>
      <c r="H49" s="516"/>
      <c r="I49" s="588" t="str">
        <f t="shared" si="1"/>
        <v>2.11.1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2239</v>
      </c>
      <c r="Q49" s="545" t="s">
        <v>2255</v>
      </c>
      <c r="R49" s="545" t="s">
        <v>2239</v>
      </c>
      <c r="S49" s="545"/>
      <c r="T49" s="480"/>
      <c r="U49" s="480" t="s">
        <v>2250</v>
      </c>
      <c r="V49" s="480" t="s">
        <v>2250</v>
      </c>
      <c r="W49" s="480" t="s">
        <v>2250</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2.12</v>
      </c>
      <c r="J50" s="58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2251</v>
      </c>
      <c r="P50" s="545" t="s">
        <v>2244</v>
      </c>
      <c r="Q50" s="545" t="s">
        <v>2256</v>
      </c>
      <c r="R50" s="545" t="s">
        <v>2244</v>
      </c>
      <c r="S50" s="545"/>
      <c r="T50" s="480" t="s">
        <v>2257</v>
      </c>
      <c r="U50" s="480" t="s">
        <v>2258</v>
      </c>
      <c r="V50" s="480" t="s">
        <v>2259</v>
      </c>
      <c r="W50" s="480" t="s">
        <v>2260</v>
      </c>
      <c r="X50" s="480"/>
      <c r="Y50" s="585"/>
      <c r="Z50" s="483" t="s">
        <v>2261</v>
      </c>
      <c r="AA50" s="486" t="s">
        <v>2262</v>
      </c>
      <c r="AB50" s="486" t="s">
        <v>2262</v>
      </c>
      <c r="AC50" s="486" t="s">
        <v>2262</v>
      </c>
      <c r="AD50" s="483"/>
    </row>
    <row r="51" spans="1:30" ht="27" customHeight="1">
      <c r="A51" s="482"/>
      <c r="B51" s="521">
        <v>34</v>
      </c>
      <c r="C51" s="480" t="s">
        <v>2263</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90</v>
      </c>
      <c r="P51" s="545"/>
      <c r="Q51" s="545"/>
      <c r="R51" s="545"/>
      <c r="S51" s="545"/>
      <c r="T51" s="480" t="s">
        <v>2264</v>
      </c>
      <c r="U51" s="480"/>
      <c r="V51" s="480"/>
      <c r="W51" s="480"/>
      <c r="X51" s="480"/>
      <c r="Y51" s="585"/>
      <c r="Z51" s="483"/>
      <c r="AA51" s="486"/>
      <c r="AB51" s="486"/>
      <c r="AC51" s="486"/>
      <c r="AD51" s="483"/>
    </row>
    <row r="52" spans="1:30" ht="36" customHeight="1">
      <c r="A52" s="482"/>
      <c r="B52" s="521">
        <v>35</v>
      </c>
      <c r="C52" s="480" t="s">
        <v>2160</v>
      </c>
      <c r="D52" s="555" t="s">
        <v>2160</v>
      </c>
      <c r="E52" s="480" t="s">
        <v>2160</v>
      </c>
      <c r="F52" s="480" t="s">
        <v>2160</v>
      </c>
      <c r="G52" s="480"/>
      <c r="H52" s="516"/>
      <c r="I52" s="588" t="str">
        <f t="shared" si="7"/>
        <v>3</v>
      </c>
      <c r="J52" s="588" t="str">
        <f t="shared" si="8"/>
        <v>Чистая прибыль, полученная от регулируемого вида деятельности в сфере холодного водоснабжения,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холодного водоснабжения,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2265</v>
      </c>
      <c r="U52" s="480" t="s">
        <v>2266</v>
      </c>
      <c r="V52" s="480" t="s">
        <v>2267</v>
      </c>
      <c r="W52" s="480" t="s">
        <v>2268</v>
      </c>
      <c r="X52" s="480"/>
      <c r="Y52" s="585"/>
      <c r="Z52" s="483" t="s">
        <v>772</v>
      </c>
      <c r="AA52" s="486" t="s">
        <v>772</v>
      </c>
      <c r="AB52" s="486" t="s">
        <v>772</v>
      </c>
      <c r="AC52" s="486" t="s">
        <v>772</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776</v>
      </c>
      <c r="P53" s="545" t="s">
        <v>330</v>
      </c>
      <c r="Q53" s="545" t="s">
        <v>330</v>
      </c>
      <c r="R53" s="545" t="s">
        <v>330</v>
      </c>
      <c r="S53" s="545"/>
      <c r="T53" s="480" t="s">
        <v>2269</v>
      </c>
      <c r="U53" s="480" t="s">
        <v>2269</v>
      </c>
      <c r="V53" s="480" t="s">
        <v>2269</v>
      </c>
      <c r="W53" s="480" t="s">
        <v>2269</v>
      </c>
      <c r="X53" s="480"/>
      <c r="Y53" s="585"/>
      <c r="Z53" s="483"/>
      <c r="AA53" s="486"/>
      <c r="AB53" s="483"/>
      <c r="AC53" s="483"/>
      <c r="AD53" s="483"/>
    </row>
    <row r="54" spans="1:30" ht="18" customHeight="1">
      <c r="A54" s="482"/>
      <c r="B54" s="521">
        <v>37</v>
      </c>
      <c r="C54" s="480" t="s">
        <v>2166</v>
      </c>
      <c r="D54" s="555" t="s">
        <v>2166</v>
      </c>
      <c r="E54" s="480" t="s">
        <v>2166</v>
      </c>
      <c r="F54" s="480" t="s">
        <v>2166</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111</v>
      </c>
      <c r="P54" s="545" t="s">
        <v>91</v>
      </c>
      <c r="Q54" s="545" t="s">
        <v>91</v>
      </c>
      <c r="R54" s="545" t="s">
        <v>91</v>
      </c>
      <c r="S54" s="545"/>
      <c r="T54" s="480" t="s">
        <v>774</v>
      </c>
      <c r="U54" s="480" t="s">
        <v>774</v>
      </c>
      <c r="V54" s="480" t="s">
        <v>774</v>
      </c>
      <c r="W54" s="480" t="s">
        <v>774</v>
      </c>
      <c r="X54" s="480"/>
      <c r="Y54" s="585"/>
      <c r="Z54" s="483" t="s">
        <v>775</v>
      </c>
      <c r="AA54" s="483" t="s">
        <v>775</v>
      </c>
      <c r="AB54" s="483" t="s">
        <v>775</v>
      </c>
      <c r="AC54" s="483" t="s">
        <v>775</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319</v>
      </c>
      <c r="P55" s="545" t="s">
        <v>776</v>
      </c>
      <c r="Q55" s="545" t="s">
        <v>776</v>
      </c>
      <c r="R55" s="545" t="s">
        <v>776</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2270</v>
      </c>
      <c r="V55" s="480" t="s">
        <v>2270</v>
      </c>
      <c r="W55" s="480" t="s">
        <v>2270</v>
      </c>
      <c r="X55" s="480"/>
      <c r="Y55" s="585"/>
      <c r="Z55" s="483" t="s">
        <v>2271</v>
      </c>
      <c r="AA55" s="483" t="s">
        <v>2271</v>
      </c>
      <c r="AB55" s="483" t="s">
        <v>2271</v>
      </c>
      <c r="AC55" s="483" t="s">
        <v>2271</v>
      </c>
      <c r="AD55" s="483"/>
    </row>
    <row r="56" spans="1:30" ht="27" customHeight="1">
      <c r="A56" s="482"/>
      <c r="B56" s="521">
        <v>39</v>
      </c>
      <c r="C56" s="480" t="s">
        <v>1191</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1316</v>
      </c>
      <c r="P56" s="545" t="s">
        <v>779</v>
      </c>
      <c r="Q56" s="545" t="s">
        <v>779</v>
      </c>
      <c r="R56" s="545" t="s">
        <v>779</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2272</v>
      </c>
      <c r="V56" s="480" t="s">
        <v>2272</v>
      </c>
      <c r="W56" s="480" t="s">
        <v>2272</v>
      </c>
      <c r="X56" s="480"/>
      <c r="Y56" s="585"/>
      <c r="Z56" s="483" t="s">
        <v>781</v>
      </c>
      <c r="AA56" s="483" t="s">
        <v>781</v>
      </c>
      <c r="AB56" s="483" t="s">
        <v>781</v>
      </c>
      <c r="AC56" s="483" t="s">
        <v>781</v>
      </c>
      <c r="AD56" s="483"/>
    </row>
    <row r="57" spans="1:30" ht="27" customHeight="1">
      <c r="A57" s="482"/>
      <c r="B57" s="521">
        <v>40</v>
      </c>
      <c r="C57" s="480" t="s">
        <v>1193</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2273</v>
      </c>
      <c r="P57" s="545" t="s">
        <v>782</v>
      </c>
      <c r="Q57" s="545" t="s">
        <v>782</v>
      </c>
      <c r="R57" s="545" t="s">
        <v>782</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2274</v>
      </c>
      <c r="V57" s="480" t="s">
        <v>2274</v>
      </c>
      <c r="W57" s="480" t="s">
        <v>2274</v>
      </c>
      <c r="X57" s="480"/>
      <c r="Y57" s="585"/>
      <c r="Z57" s="483" t="s">
        <v>784</v>
      </c>
      <c r="AA57" s="483" t="s">
        <v>784</v>
      </c>
      <c r="AB57" s="483" t="s">
        <v>784</v>
      </c>
      <c r="AC57" s="483" t="s">
        <v>784</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916</v>
      </c>
      <c r="P58" s="545" t="s">
        <v>820</v>
      </c>
      <c r="Q58" s="545" t="s">
        <v>820</v>
      </c>
      <c r="R58" s="545" t="s">
        <v>820</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2275</v>
      </c>
      <c r="V58" s="480" t="s">
        <v>2275</v>
      </c>
      <c r="W58" s="480" t="s">
        <v>2275</v>
      </c>
      <c r="X58" s="480"/>
      <c r="Y58" s="585"/>
      <c r="Z58" s="483"/>
      <c r="AA58" s="486"/>
      <c r="AB58" s="483"/>
      <c r="AC58" s="483"/>
      <c r="AD58" s="483"/>
    </row>
    <row r="59" spans="1:30" ht="36" customHeight="1">
      <c r="A59" s="482"/>
      <c r="B59" s="521">
        <v>42</v>
      </c>
      <c r="C59" s="480">
        <v>3</v>
      </c>
      <c r="D59" s="555" t="s">
        <v>2263</v>
      </c>
      <c r="E59" s="480" t="s">
        <v>2263</v>
      </c>
      <c r="F59" s="480" t="s">
        <v>2263</v>
      </c>
      <c r="G59" s="480"/>
      <c r="H59" s="516"/>
      <c r="I59" s="588" t="str">
        <f t="shared" si="7"/>
        <v>5</v>
      </c>
      <c r="J59" s="588" t="str">
        <f t="shared" si="8"/>
        <v>Валовая прибыль (убытки) от продажи товаров и услуг по регулируемым видам деятельности в сфере холодного водоснабжения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холодного водоснабжения</v>
      </c>
      <c r="N59" s="481" t="str">
        <f t="shared" si="12"/>
        <v/>
      </c>
      <c r="O59" s="545"/>
      <c r="P59" s="545" t="s">
        <v>111</v>
      </c>
      <c r="Q59" s="545" t="s">
        <v>111</v>
      </c>
      <c r="R59" s="545" t="s">
        <v>111</v>
      </c>
      <c r="S59" s="545"/>
      <c r="T59" s="480"/>
      <c r="U59" s="480" t="s">
        <v>2276</v>
      </c>
      <c r="V59" s="480" t="s">
        <v>2277</v>
      </c>
      <c r="W59" s="480" t="s">
        <v>2278</v>
      </c>
      <c r="X59" s="480"/>
      <c r="Y59" s="585"/>
      <c r="Z59" s="483"/>
      <c r="AA59" s="486"/>
      <c r="AB59" s="483"/>
      <c r="AC59" s="483"/>
      <c r="AD59" s="483"/>
    </row>
    <row r="60" spans="1:30" ht="81" customHeight="1">
      <c r="A60" s="482"/>
      <c r="B60" s="521">
        <v>43</v>
      </c>
      <c r="C60" s="480" t="s">
        <v>2279</v>
      </c>
      <c r="D60" s="555" t="s">
        <v>2279</v>
      </c>
      <c r="E60" s="480" t="s">
        <v>2279</v>
      </c>
      <c r="F60" s="480" t="s">
        <v>2279</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5" t="s">
        <v>92</v>
      </c>
      <c r="P60" s="545" t="s">
        <v>92</v>
      </c>
      <c r="Q60" s="545" t="s">
        <v>92</v>
      </c>
      <c r="R60" s="545" t="s">
        <v>92</v>
      </c>
      <c r="S60" s="545"/>
      <c r="T60" s="480" t="s">
        <v>646</v>
      </c>
      <c r="U60" s="480" t="s">
        <v>646</v>
      </c>
      <c r="V60" s="480" t="s">
        <v>646</v>
      </c>
      <c r="W60" s="480" t="s">
        <v>646</v>
      </c>
      <c r="X60" s="480"/>
      <c r="Y60" s="585"/>
      <c r="Z60" s="483" t="s">
        <v>2280</v>
      </c>
      <c r="AA60" s="486" t="s">
        <v>2281</v>
      </c>
      <c r="AB60" s="483" t="s">
        <v>2282</v>
      </c>
      <c r="AC60" s="483" t="s">
        <v>2281</v>
      </c>
      <c r="AD60" s="483"/>
    </row>
    <row r="61" spans="1:30" ht="9" customHeight="1">
      <c r="A61" s="482"/>
      <c r="B61" s="521">
        <v>44</v>
      </c>
      <c r="C61" s="480"/>
      <c r="D61" s="555" t="s">
        <v>2283</v>
      </c>
      <c r="E61" s="480"/>
      <c r="F61" s="480"/>
      <c r="G61" s="480"/>
      <c r="H61" s="516"/>
      <c r="I61" s="588" t="str">
        <f t="shared" si="7"/>
        <v>7</v>
      </c>
      <c r="J61" s="588" t="str">
        <f t="shared" si="8"/>
        <v>Объём поднятой воды</v>
      </c>
      <c r="K61" s="588">
        <f t="shared" si="9"/>
        <v>0</v>
      </c>
      <c r="L61" s="481" t="str">
        <f t="shared" si="10"/>
        <v>7</v>
      </c>
      <c r="M61" s="481" t="str">
        <f t="shared" si="11"/>
        <v>Объём поднятой воды</v>
      </c>
      <c r="N61" s="481" t="str">
        <f t="shared" si="12"/>
        <v/>
      </c>
      <c r="O61" s="545"/>
      <c r="P61" s="545" t="s">
        <v>93</v>
      </c>
      <c r="Q61" s="545"/>
      <c r="R61" s="545"/>
      <c r="S61" s="545"/>
      <c r="T61" s="480"/>
      <c r="U61" s="480" t="s">
        <v>2284</v>
      </c>
      <c r="V61" s="480"/>
      <c r="W61" s="480"/>
      <c r="X61" s="480"/>
      <c r="Y61" s="585"/>
      <c r="Z61" s="483"/>
      <c r="AA61" s="486"/>
      <c r="AB61" s="483"/>
      <c r="AC61" s="483"/>
      <c r="AD61" s="483"/>
    </row>
    <row r="62" spans="1:30" ht="9" customHeight="1">
      <c r="A62" s="482"/>
      <c r="B62" s="521">
        <v>45</v>
      </c>
      <c r="C62" s="480"/>
      <c r="D62" s="555" t="s">
        <v>2285</v>
      </c>
      <c r="E62" s="480"/>
      <c r="F62" s="480"/>
      <c r="G62" s="480"/>
      <c r="H62" s="516"/>
      <c r="I62" s="588" t="str">
        <f t="shared" si="7"/>
        <v>8</v>
      </c>
      <c r="J62" s="588" t="str">
        <f t="shared" si="8"/>
        <v>Объём покупной воды</v>
      </c>
      <c r="K62" s="588">
        <f t="shared" si="9"/>
        <v>0</v>
      </c>
      <c r="L62" s="481" t="str">
        <f t="shared" si="10"/>
        <v>8</v>
      </c>
      <c r="M62" s="481" t="str">
        <f t="shared" si="11"/>
        <v>Объём покупной воды</v>
      </c>
      <c r="N62" s="481" t="str">
        <f t="shared" si="12"/>
        <v/>
      </c>
      <c r="O62" s="545"/>
      <c r="P62" s="545" t="s">
        <v>112</v>
      </c>
      <c r="Q62" s="545"/>
      <c r="R62" s="545"/>
      <c r="S62" s="545"/>
      <c r="T62" s="480"/>
      <c r="U62" s="480" t="s">
        <v>2286</v>
      </c>
      <c r="V62" s="480"/>
      <c r="W62" s="480"/>
      <c r="X62" s="480"/>
      <c r="Y62" s="585"/>
      <c r="Z62" s="483"/>
      <c r="AA62" s="486"/>
      <c r="AB62" s="483"/>
      <c r="AC62" s="483"/>
      <c r="AD62" s="483"/>
    </row>
    <row r="63" spans="1:30" ht="18" customHeight="1">
      <c r="A63" s="482"/>
      <c r="B63" s="521">
        <v>46</v>
      </c>
      <c r="C63" s="480"/>
      <c r="D63" s="555" t="s">
        <v>2287</v>
      </c>
      <c r="E63" s="480"/>
      <c r="F63" s="480"/>
      <c r="G63" s="480"/>
      <c r="H63" s="516"/>
      <c r="I63" s="588" t="str">
        <f t="shared" si="7"/>
        <v>9</v>
      </c>
      <c r="J63" s="588" t="str">
        <f t="shared" si="8"/>
        <v>Объём воды, пропущенной через очистные сооружения</v>
      </c>
      <c r="K63" s="588">
        <f t="shared" si="9"/>
        <v>0</v>
      </c>
      <c r="L63" s="481" t="str">
        <f t="shared" si="10"/>
        <v>9</v>
      </c>
      <c r="M63" s="481" t="str">
        <f t="shared" si="11"/>
        <v>Объём воды, пропущенной через очистные сооружения</v>
      </c>
      <c r="N63" s="481" t="str">
        <f t="shared" si="12"/>
        <v/>
      </c>
      <c r="O63" s="545"/>
      <c r="P63" s="545" t="s">
        <v>156</v>
      </c>
      <c r="Q63" s="545"/>
      <c r="R63" s="545"/>
      <c r="S63" s="545"/>
      <c r="T63" s="480"/>
      <c r="U63" s="480" t="s">
        <v>2288</v>
      </c>
      <c r="V63" s="480"/>
      <c r="W63" s="480"/>
      <c r="X63" s="480"/>
      <c r="Y63" s="585"/>
      <c r="Z63" s="483"/>
      <c r="AA63" s="486"/>
      <c r="AB63" s="483"/>
      <c r="AC63" s="483"/>
      <c r="AD63" s="483"/>
    </row>
    <row r="64" spans="1:30" ht="18" customHeight="1">
      <c r="A64" s="482"/>
      <c r="B64" s="521">
        <v>47</v>
      </c>
      <c r="C64" s="480"/>
      <c r="D64" s="555" t="s">
        <v>2289</v>
      </c>
      <c r="E64" s="480"/>
      <c r="F64" s="480"/>
      <c r="G64" s="480"/>
      <c r="H64" s="516"/>
      <c r="I64" s="588" t="str">
        <f t="shared" si="7"/>
        <v>10</v>
      </c>
      <c r="J64" s="588" t="str">
        <f t="shared" si="8"/>
        <v>Объём отпущенной потребителям воды, в том числе:</v>
      </c>
      <c r="K64" s="588" t="str">
        <f t="shared" si="9"/>
        <v>Указывается общий объем отпущенной потребителям воды.</v>
      </c>
      <c r="L64" s="481" t="str">
        <f t="shared" si="10"/>
        <v>10</v>
      </c>
      <c r="M64" s="481" t="str">
        <f t="shared" si="11"/>
        <v>Объём отпущенной потребителям воды, в том числе:</v>
      </c>
      <c r="N64" s="481" t="str">
        <f t="shared" si="12"/>
        <v>Указывается общий объем отпущенной потребителям воды.</v>
      </c>
      <c r="O64" s="545"/>
      <c r="P64" s="545" t="s">
        <v>157</v>
      </c>
      <c r="Q64" s="545"/>
      <c r="R64" s="545"/>
      <c r="S64" s="545"/>
      <c r="T64" s="480"/>
      <c r="U64" s="480" t="s">
        <v>2290</v>
      </c>
      <c r="V64" s="480"/>
      <c r="W64" s="480"/>
      <c r="X64" s="480"/>
      <c r="Y64" s="585"/>
      <c r="Z64" s="483"/>
      <c r="AA64" s="486" t="s">
        <v>2291</v>
      </c>
      <c r="AB64" s="483"/>
      <c r="AC64" s="483"/>
      <c r="AD64" s="483"/>
    </row>
    <row r="65" spans="1:30" ht="18" customHeight="1">
      <c r="A65" s="482"/>
      <c r="B65" s="521">
        <v>48</v>
      </c>
      <c r="C65" s="480"/>
      <c r="D65" s="555"/>
      <c r="E65" s="480"/>
      <c r="F65" s="480"/>
      <c r="G65" s="480"/>
      <c r="H65" s="516"/>
      <c r="I65" s="588" t="str">
        <f t="shared" si="7"/>
        <v>10.1</v>
      </c>
      <c r="J65" s="588" t="str">
        <f t="shared" si="8"/>
        <v>Объём отпущенной потребителям воды, определенный по приборам учета</v>
      </c>
      <c r="K65" s="588">
        <f t="shared" si="9"/>
        <v>0</v>
      </c>
      <c r="L65" s="481" t="str">
        <f t="shared" si="10"/>
        <v>10.1</v>
      </c>
      <c r="M65" s="481" t="str">
        <f t="shared" si="11"/>
        <v>Объём отпущенной потребителям воды, определенный по приборам учета</v>
      </c>
      <c r="N65" s="481" t="str">
        <f t="shared" si="12"/>
        <v/>
      </c>
      <c r="O65" s="545"/>
      <c r="P65" s="545" t="s">
        <v>2207</v>
      </c>
      <c r="Q65" s="545"/>
      <c r="R65" s="545"/>
      <c r="S65" s="545"/>
      <c r="T65" s="480"/>
      <c r="U65" s="480" t="s">
        <v>2292</v>
      </c>
      <c r="V65" s="480"/>
      <c r="W65" s="480"/>
      <c r="X65" s="480"/>
      <c r="Y65" s="585"/>
      <c r="Z65" s="483"/>
      <c r="AA65" s="486"/>
      <c r="AB65" s="483"/>
      <c r="AC65" s="483"/>
      <c r="AD65" s="483"/>
    </row>
    <row r="66" spans="1:30" ht="18" customHeight="1">
      <c r="A66" s="482"/>
      <c r="B66" s="521">
        <v>49</v>
      </c>
      <c r="C66" s="480"/>
      <c r="D66" s="555"/>
      <c r="E66" s="480"/>
      <c r="F66" s="480"/>
      <c r="G66" s="480"/>
      <c r="H66" s="516"/>
      <c r="I66" s="588" t="str">
        <f t="shared" si="7"/>
        <v>10.2</v>
      </c>
      <c r="J66" s="588" t="str">
        <f t="shared" si="8"/>
        <v>Объём отпущенной потребителям воды, определенный расчетным способом</v>
      </c>
      <c r="K66" s="588">
        <f t="shared" si="9"/>
        <v>0</v>
      </c>
      <c r="L66" s="481" t="str">
        <f t="shared" si="10"/>
        <v>10.2</v>
      </c>
      <c r="M66" s="481" t="str">
        <f t="shared" si="11"/>
        <v>Объём отпущенной потребителям воды, определенный расчетным способом</v>
      </c>
      <c r="N66" s="481" t="str">
        <f t="shared" si="12"/>
        <v/>
      </c>
      <c r="O66" s="545"/>
      <c r="P66" s="545" t="s">
        <v>2211</v>
      </c>
      <c r="Q66" s="545"/>
      <c r="R66" s="545"/>
      <c r="S66" s="545"/>
      <c r="T66" s="480"/>
      <c r="U66" s="480" t="s">
        <v>2293</v>
      </c>
      <c r="V66" s="480"/>
      <c r="W66" s="480"/>
      <c r="X66" s="480"/>
      <c r="Y66" s="585"/>
      <c r="Z66" s="483"/>
      <c r="AA66" s="486"/>
      <c r="AB66" s="483"/>
      <c r="AC66" s="483"/>
      <c r="AD66" s="483"/>
    </row>
    <row r="67" spans="1:30" ht="27" customHeight="1">
      <c r="A67" s="482"/>
      <c r="B67" s="521">
        <v>50</v>
      </c>
      <c r="C67" s="480"/>
      <c r="D67" s="555"/>
      <c r="E67" s="480"/>
      <c r="F67" s="480"/>
      <c r="G67" s="480"/>
      <c r="H67" s="516"/>
      <c r="I67" s="588" t="str">
        <f t="shared" si="7"/>
        <v>10.2.1</v>
      </c>
      <c r="J67" s="588" t="str">
        <f t="shared" si="8"/>
        <v>Объём отпущенной потребителям воды, определенный по нормативам потребления коммунальных услуг</v>
      </c>
      <c r="K67" s="588">
        <f t="shared" si="9"/>
        <v>0</v>
      </c>
      <c r="L67" s="481" t="str">
        <f t="shared" si="10"/>
        <v>10.2.1</v>
      </c>
      <c r="M67" s="481" t="str">
        <f t="shared" si="11"/>
        <v>Объём отпущенной потребителям воды, определенный по нормативам потребления коммунальных услуг</v>
      </c>
      <c r="N67" s="481" t="str">
        <f t="shared" si="12"/>
        <v/>
      </c>
      <c r="O67" s="545"/>
      <c r="P67" s="545" t="s">
        <v>2294</v>
      </c>
      <c r="Q67" s="545"/>
      <c r="R67" s="545"/>
      <c r="S67" s="545"/>
      <c r="T67" s="480"/>
      <c r="U67" s="480" t="s">
        <v>2295</v>
      </c>
      <c r="V67" s="480"/>
      <c r="W67" s="480"/>
      <c r="X67" s="480"/>
      <c r="Y67" s="585"/>
      <c r="Z67" s="483"/>
      <c r="AA67" s="486"/>
      <c r="AB67" s="483"/>
      <c r="AC67" s="483"/>
      <c r="AD67" s="483"/>
    </row>
    <row r="68" spans="1:30" ht="27" customHeight="1">
      <c r="A68" s="482"/>
      <c r="B68" s="521">
        <v>51</v>
      </c>
      <c r="C68" s="480"/>
      <c r="D68" s="555"/>
      <c r="E68" s="480"/>
      <c r="F68" s="480"/>
      <c r="G68" s="480"/>
      <c r="H68" s="516"/>
      <c r="I68" s="588" t="str">
        <f t="shared" si="7"/>
        <v>10.2.2</v>
      </c>
      <c r="J68" s="588" t="str">
        <f t="shared" si="8"/>
        <v xml:space="preserve">Объём отпущенной потребителям воды, определенный по нормативам потребления коммунальных ресурсов </v>
      </c>
      <c r="K68" s="588">
        <f t="shared" si="9"/>
        <v>0</v>
      </c>
      <c r="L68" s="481" t="str">
        <f t="shared" si="10"/>
        <v>10.2.2</v>
      </c>
      <c r="M68" s="481" t="str">
        <f t="shared" si="11"/>
        <v xml:space="preserve">Объём отпущенной потребителям воды, определенный по нормативам потребления коммунальных ресурсов </v>
      </c>
      <c r="N68" s="481" t="str">
        <f t="shared" si="12"/>
        <v/>
      </c>
      <c r="O68" s="545"/>
      <c r="P68" s="545" t="s">
        <v>2296</v>
      </c>
      <c r="Q68" s="545"/>
      <c r="R68" s="545"/>
      <c r="S68" s="545"/>
      <c r="T68" s="480"/>
      <c r="U68" s="480" t="s">
        <v>2297</v>
      </c>
      <c r="V68" s="480"/>
      <c r="W68" s="480"/>
      <c r="X68" s="480"/>
      <c r="Y68" s="585"/>
      <c r="Z68" s="483"/>
      <c r="AA68" s="486"/>
      <c r="AB68" s="483"/>
      <c r="AC68" s="483"/>
      <c r="AD68" s="483"/>
    </row>
    <row r="69" spans="1:30" ht="9" customHeight="1">
      <c r="A69" s="482"/>
      <c r="B69" s="521">
        <v>52</v>
      </c>
      <c r="C69" s="480"/>
      <c r="D69" s="555" t="s">
        <v>2298</v>
      </c>
      <c r="E69" s="480"/>
      <c r="F69" s="480"/>
      <c r="G69" s="480"/>
      <c r="H69" s="516"/>
      <c r="I69" s="588" t="str">
        <f t="shared" si="7"/>
        <v>11</v>
      </c>
      <c r="J69" s="588" t="str">
        <f t="shared" si="8"/>
        <v>Потери воды в сетях</v>
      </c>
      <c r="K69" s="588">
        <f t="shared" si="9"/>
        <v>0</v>
      </c>
      <c r="L69" s="481" t="str">
        <f t="shared" si="10"/>
        <v>11</v>
      </c>
      <c r="M69" s="481" t="str">
        <f t="shared" si="11"/>
        <v>Потери воды в сетях</v>
      </c>
      <c r="N69" s="481" t="str">
        <f t="shared" si="12"/>
        <v/>
      </c>
      <c r="O69" s="545"/>
      <c r="P69" s="545" t="s">
        <v>158</v>
      </c>
      <c r="Q69" s="545"/>
      <c r="R69" s="545"/>
      <c r="S69" s="545"/>
      <c r="T69" s="480"/>
      <c r="U69" s="480" t="s">
        <v>2299</v>
      </c>
      <c r="V69" s="480"/>
      <c r="W69" s="480"/>
      <c r="X69" s="480"/>
      <c r="Y69" s="585"/>
      <c r="Z69" s="483"/>
      <c r="AA69" s="486"/>
      <c r="AB69" s="483"/>
      <c r="AC69" s="483"/>
      <c r="AD69" s="483"/>
    </row>
    <row r="70" spans="1:30" ht="27" customHeight="1">
      <c r="A70" s="482"/>
      <c r="B70" s="521">
        <v>53</v>
      </c>
      <c r="C70" s="480"/>
      <c r="D70" s="555"/>
      <c r="E70" s="480" t="s">
        <v>2283</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2300</v>
      </c>
      <c r="W70" s="480"/>
      <c r="X70" s="480"/>
      <c r="Y70" s="585"/>
      <c r="Z70" s="483"/>
      <c r="AA70" s="486"/>
      <c r="AB70" s="483"/>
      <c r="AC70" s="483"/>
      <c r="AD70" s="483"/>
    </row>
    <row r="71" spans="1:30" ht="36" customHeight="1">
      <c r="A71" s="482"/>
      <c r="B71" s="521">
        <v>54</v>
      </c>
      <c r="C71" s="480"/>
      <c r="D71" s="555"/>
      <c r="E71" s="480" t="s">
        <v>2285</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112</v>
      </c>
      <c r="R71" s="545"/>
      <c r="S71" s="545"/>
      <c r="T71" s="480"/>
      <c r="U71" s="480"/>
      <c r="V71" s="480" t="s">
        <v>2301</v>
      </c>
      <c r="W71" s="480"/>
      <c r="X71" s="480"/>
      <c r="Y71" s="585"/>
      <c r="Z71" s="483"/>
      <c r="AA71" s="486"/>
      <c r="AB71" s="483"/>
      <c r="AC71" s="483"/>
      <c r="AD71" s="483"/>
    </row>
    <row r="72" spans="1:30" ht="27" customHeight="1">
      <c r="A72" s="482"/>
      <c r="B72" s="521">
        <v>55</v>
      </c>
      <c r="C72" s="480"/>
      <c r="D72" s="555"/>
      <c r="E72" s="480" t="s">
        <v>2287</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156</v>
      </c>
      <c r="R72" s="545"/>
      <c r="S72" s="545"/>
      <c r="T72" s="480"/>
      <c r="U72" s="480"/>
      <c r="V72" s="480" t="s">
        <v>2302</v>
      </c>
      <c r="W72" s="480"/>
      <c r="X72" s="480"/>
      <c r="Y72" s="585"/>
      <c r="Z72" s="483"/>
      <c r="AA72" s="486"/>
      <c r="AB72" s="483"/>
      <c r="AC72" s="483"/>
      <c r="AD72" s="483"/>
    </row>
    <row r="73" spans="1:30" ht="36" customHeight="1">
      <c r="A73" s="482"/>
      <c r="B73" s="521">
        <v>56</v>
      </c>
      <c r="C73" s="480"/>
      <c r="D73" s="555"/>
      <c r="E73" s="480" t="s">
        <v>2289</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157</v>
      </c>
      <c r="R73" s="545"/>
      <c r="S73" s="545"/>
      <c r="T73" s="480"/>
      <c r="U73" s="480"/>
      <c r="V73" s="480" t="s">
        <v>2303</v>
      </c>
      <c r="W73" s="480"/>
      <c r="X73" s="480"/>
      <c r="Y73" s="585"/>
      <c r="Z73" s="483"/>
      <c r="AA73" s="486"/>
      <c r="AB73" s="483"/>
      <c r="AC73" s="483"/>
      <c r="AD73" s="483"/>
    </row>
    <row r="74" spans="1:30" ht="18" customHeight="1">
      <c r="A74" s="482"/>
      <c r="B74" s="521">
        <v>57</v>
      </c>
      <c r="C74" s="480"/>
      <c r="D74" s="555"/>
      <c r="E74" s="480" t="s">
        <v>2298</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158</v>
      </c>
      <c r="R74" s="545"/>
      <c r="S74" s="545"/>
      <c r="T74" s="480"/>
      <c r="U74" s="480"/>
      <c r="V74" s="480" t="s">
        <v>2304</v>
      </c>
      <c r="W74" s="480"/>
      <c r="X74" s="480"/>
      <c r="Y74" s="585"/>
      <c r="Z74" s="483"/>
      <c r="AA74" s="486"/>
      <c r="AB74" s="483"/>
      <c r="AC74" s="483"/>
      <c r="AD74" s="483"/>
    </row>
    <row r="75" spans="1:30" ht="18" customHeight="1">
      <c r="A75" s="482"/>
      <c r="B75" s="521">
        <v>58</v>
      </c>
      <c r="C75" s="480"/>
      <c r="D75" s="555"/>
      <c r="E75" s="480"/>
      <c r="F75" s="480" t="s">
        <v>2283</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93</v>
      </c>
      <c r="S75" s="545"/>
      <c r="T75" s="480"/>
      <c r="U75" s="480"/>
      <c r="V75" s="480"/>
      <c r="W75" s="480" t="s">
        <v>2305</v>
      </c>
      <c r="X75" s="480"/>
      <c r="Y75" s="585"/>
      <c r="Z75" s="483"/>
      <c r="AA75" s="486"/>
      <c r="AB75" s="483"/>
      <c r="AC75" s="483"/>
      <c r="AD75" s="483"/>
    </row>
    <row r="76" spans="1:30" ht="36" customHeight="1">
      <c r="A76" s="482"/>
      <c r="B76" s="521">
        <v>59</v>
      </c>
      <c r="C76" s="480"/>
      <c r="D76" s="555"/>
      <c r="E76" s="480"/>
      <c r="F76" s="480" t="s">
        <v>2285</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112</v>
      </c>
      <c r="S76" s="545"/>
      <c r="T76" s="480"/>
      <c r="U76" s="480"/>
      <c r="V76" s="480"/>
      <c r="W76" s="480" t="s">
        <v>2306</v>
      </c>
      <c r="X76" s="480"/>
      <c r="Y76" s="585"/>
      <c r="Z76" s="483"/>
      <c r="AA76" s="486"/>
      <c r="AB76" s="483"/>
      <c r="AC76" s="483"/>
      <c r="AD76" s="483"/>
    </row>
    <row r="77" spans="1:30" ht="18" customHeight="1">
      <c r="A77" s="482"/>
      <c r="B77" s="521">
        <v>60</v>
      </c>
      <c r="C77" s="480"/>
      <c r="D77" s="555"/>
      <c r="E77" s="480"/>
      <c r="F77" s="480" t="s">
        <v>2287</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156</v>
      </c>
      <c r="S77" s="545"/>
      <c r="T77" s="480"/>
      <c r="U77" s="480"/>
      <c r="V77" s="480"/>
      <c r="W77" s="480" t="s">
        <v>2307</v>
      </c>
      <c r="X77" s="480"/>
      <c r="Y77" s="585"/>
      <c r="Z77" s="483"/>
      <c r="AA77" s="486"/>
      <c r="AB77" s="483"/>
      <c r="AC77" s="483"/>
      <c r="AD77" s="483"/>
    </row>
    <row r="78" spans="1:30" ht="72" customHeight="1">
      <c r="A78" s="482"/>
      <c r="B78" s="521">
        <v>61</v>
      </c>
      <c r="C78" s="480" t="s">
        <v>2283</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93</v>
      </c>
      <c r="P78" s="545"/>
      <c r="Q78" s="545"/>
      <c r="R78" s="545"/>
      <c r="S78" s="545"/>
      <c r="T78" s="480" t="s">
        <v>651</v>
      </c>
      <c r="U78" s="480"/>
      <c r="V78" s="480"/>
      <c r="W78" s="480"/>
      <c r="X78" s="480"/>
      <c r="Y78" s="585"/>
      <c r="Z78" s="483" t="s">
        <v>2308</v>
      </c>
      <c r="AA78" s="486"/>
      <c r="AB78" s="483"/>
      <c r="AC78" s="483"/>
      <c r="AD78" s="483"/>
    </row>
    <row r="79" spans="1:30" ht="36" customHeight="1">
      <c r="A79" s="482"/>
      <c r="B79" s="521">
        <v>62</v>
      </c>
      <c r="C79" s="480" t="s">
        <v>2285</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112</v>
      </c>
      <c r="P79" s="545"/>
      <c r="Q79" s="545"/>
      <c r="R79" s="545"/>
      <c r="S79" s="545"/>
      <c r="T79" s="480" t="s">
        <v>2309</v>
      </c>
      <c r="U79" s="480"/>
      <c r="V79" s="480"/>
      <c r="W79" s="480"/>
      <c r="X79" s="480"/>
      <c r="Y79" s="585"/>
      <c r="Z79" s="483" t="s">
        <v>2310</v>
      </c>
      <c r="AA79" s="486"/>
      <c r="AB79" s="483"/>
      <c r="AC79" s="483"/>
      <c r="AD79" s="483"/>
    </row>
    <row r="80" spans="1:30" ht="45" customHeight="1">
      <c r="A80" s="482"/>
      <c r="B80" s="521">
        <v>63</v>
      </c>
      <c r="C80" s="480" t="s">
        <v>2287</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156</v>
      </c>
      <c r="P80" s="545"/>
      <c r="Q80" s="545"/>
      <c r="R80" s="545"/>
      <c r="S80" s="545"/>
      <c r="T80" s="480" t="s">
        <v>2311</v>
      </c>
      <c r="U80" s="480"/>
      <c r="V80" s="480"/>
      <c r="W80" s="480"/>
      <c r="X80" s="480"/>
      <c r="Y80" s="585"/>
      <c r="Z80" s="483" t="s">
        <v>2312</v>
      </c>
      <c r="AA80" s="486"/>
      <c r="AB80" s="483"/>
      <c r="AC80" s="483"/>
      <c r="AD80" s="483"/>
    </row>
    <row r="81" spans="1:30" ht="36" customHeight="1">
      <c r="A81" s="482"/>
      <c r="B81" s="521">
        <v>64</v>
      </c>
      <c r="C81" s="480" t="s">
        <v>2289</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2198</v>
      </c>
      <c r="P81" s="545"/>
      <c r="Q81" s="545"/>
      <c r="R81" s="545"/>
      <c r="S81" s="545"/>
      <c r="T81" s="480" t="s">
        <v>2313</v>
      </c>
      <c r="U81" s="480"/>
      <c r="V81" s="480"/>
      <c r="W81" s="480"/>
      <c r="X81" s="480"/>
      <c r="Y81" s="585"/>
      <c r="Z81" s="483" t="s">
        <v>2314</v>
      </c>
      <c r="AA81" s="486"/>
      <c r="AB81" s="483"/>
      <c r="AC81" s="483"/>
      <c r="AD81" s="483"/>
    </row>
    <row r="82" spans="1:30" ht="90" customHeight="1">
      <c r="A82" s="482"/>
      <c r="B82" s="521">
        <v>65</v>
      </c>
      <c r="C82" s="480" t="s">
        <v>2298</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157</v>
      </c>
      <c r="P82" s="545"/>
      <c r="Q82" s="545"/>
      <c r="R82" s="545"/>
      <c r="S82" s="545"/>
      <c r="T82" s="480" t="s">
        <v>2315</v>
      </c>
      <c r="U82" s="480"/>
      <c r="V82" s="480"/>
      <c r="W82" s="480"/>
      <c r="X82" s="480"/>
      <c r="Y82" s="585"/>
      <c r="Z82" s="483" t="s">
        <v>2316</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2207</v>
      </c>
      <c r="P83" s="545"/>
      <c r="Q83" s="545"/>
      <c r="R83" s="545"/>
      <c r="S83" s="545"/>
      <c r="T83" s="480" t="s">
        <v>2317</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2318</v>
      </c>
      <c r="P84" s="545"/>
      <c r="Q84" s="545"/>
      <c r="R84" s="545"/>
      <c r="S84" s="545"/>
      <c r="T84" s="480" t="s">
        <v>2319</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2211</v>
      </c>
      <c r="P85" s="545"/>
      <c r="Q85" s="545"/>
      <c r="R85" s="545"/>
      <c r="S85" s="545"/>
      <c r="T85" s="480" t="s">
        <v>2320</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2321</v>
      </c>
      <c r="P86" s="545"/>
      <c r="Q86" s="545"/>
      <c r="R86" s="545"/>
      <c r="S86" s="545"/>
      <c r="T86" s="480" t="s">
        <v>2322</v>
      </c>
      <c r="U86" s="480"/>
      <c r="V86" s="480"/>
      <c r="W86" s="480"/>
      <c r="X86" s="480"/>
      <c r="Y86" s="585"/>
      <c r="Z86" s="483"/>
      <c r="AA86" s="486"/>
      <c r="AB86" s="483"/>
      <c r="AC86" s="483"/>
      <c r="AD86" s="483"/>
    </row>
    <row r="87" spans="1:30" ht="36" customHeight="1">
      <c r="A87" s="482"/>
      <c r="B87" s="521">
        <v>70</v>
      </c>
      <c r="C87" s="480" t="s">
        <v>2323</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158</v>
      </c>
      <c r="P87" s="545"/>
      <c r="Q87" s="545"/>
      <c r="R87" s="545"/>
      <c r="S87" s="545"/>
      <c r="T87" s="480" t="s">
        <v>2324</v>
      </c>
      <c r="U87" s="480"/>
      <c r="V87" s="480"/>
      <c r="W87" s="480"/>
      <c r="X87" s="480"/>
      <c r="Y87" s="585"/>
      <c r="Z87" s="483"/>
      <c r="AA87" s="486"/>
      <c r="AB87" s="483"/>
      <c r="AC87" s="483"/>
      <c r="AD87" s="483"/>
    </row>
    <row r="88" spans="1:30" ht="18" customHeight="1">
      <c r="A88" s="482"/>
      <c r="B88" s="521">
        <v>71</v>
      </c>
      <c r="C88" s="480" t="s">
        <v>2325</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159</v>
      </c>
      <c r="P88" s="545"/>
      <c r="Q88" s="545"/>
      <c r="R88" s="545"/>
      <c r="S88" s="545"/>
      <c r="T88" s="480" t="s">
        <v>683</v>
      </c>
      <c r="U88" s="480"/>
      <c r="V88" s="480"/>
      <c r="W88" s="480"/>
      <c r="X88" s="480"/>
      <c r="Y88" s="585"/>
      <c r="Z88" s="483"/>
      <c r="AA88" s="486"/>
      <c r="AB88" s="483"/>
      <c r="AC88" s="483"/>
      <c r="AD88" s="483"/>
    </row>
    <row r="89" spans="1:30" ht="18" customHeight="1">
      <c r="A89" s="482"/>
      <c r="B89" s="521">
        <v>72</v>
      </c>
      <c r="C89" s="480" t="s">
        <v>2326</v>
      </c>
      <c r="D89" s="555" t="s">
        <v>2323</v>
      </c>
      <c r="E89" s="480" t="s">
        <v>2323</v>
      </c>
      <c r="F89" s="480" t="s">
        <v>2289</v>
      </c>
      <c r="G89" s="480"/>
      <c r="H89" s="516"/>
      <c r="I89" s="588" t="str">
        <f t="shared" si="13"/>
        <v>12</v>
      </c>
      <c r="J89" s="588" t="str">
        <f t="shared" si="14"/>
        <v>Среднесписочная численность основного производственного персонала</v>
      </c>
      <c r="K89" s="588">
        <f t="shared" si="15"/>
        <v>0</v>
      </c>
      <c r="L89" s="481" t="str">
        <f t="shared" si="16"/>
        <v>12</v>
      </c>
      <c r="M89" s="481" t="str">
        <f t="shared" si="17"/>
        <v>Среднесписочная численность основного производственного персонала</v>
      </c>
      <c r="N89" s="481" t="str">
        <f t="shared" si="18"/>
        <v/>
      </c>
      <c r="O89" s="545" t="s">
        <v>160</v>
      </c>
      <c r="P89" s="545" t="s">
        <v>159</v>
      </c>
      <c r="Q89" s="545" t="s">
        <v>159</v>
      </c>
      <c r="R89" s="545" t="s">
        <v>157</v>
      </c>
      <c r="S89" s="545"/>
      <c r="T89" s="480" t="s">
        <v>691</v>
      </c>
      <c r="U89" s="480" t="s">
        <v>691</v>
      </c>
      <c r="V89" s="480" t="s">
        <v>691</v>
      </c>
      <c r="W89" s="480" t="s">
        <v>691</v>
      </c>
      <c r="X89" s="480"/>
      <c r="Y89" s="585"/>
      <c r="Z89" s="483"/>
      <c r="AA89" s="486"/>
      <c r="AB89" s="483"/>
      <c r="AC89" s="483"/>
      <c r="AD89" s="483"/>
    </row>
    <row r="90" spans="1:30" ht="27" customHeight="1">
      <c r="A90" s="482"/>
      <c r="B90" s="521">
        <v>73</v>
      </c>
      <c r="C90" s="480" t="s">
        <v>2327</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161</v>
      </c>
      <c r="P90" s="545"/>
      <c r="Q90" s="545"/>
      <c r="R90" s="545"/>
      <c r="S90" s="545"/>
      <c r="T90" s="480" t="s">
        <v>693</v>
      </c>
      <c r="U90" s="480"/>
      <c r="V90" s="480"/>
      <c r="W90" s="480"/>
      <c r="X90" s="480"/>
      <c r="Y90" s="585"/>
      <c r="Z90" s="483"/>
      <c r="AA90" s="486"/>
      <c r="AB90" s="483"/>
      <c r="AC90" s="483"/>
      <c r="AD90" s="483"/>
    </row>
    <row r="91" spans="1:30" ht="18" customHeight="1">
      <c r="A91" s="482"/>
      <c r="B91" s="521">
        <v>74</v>
      </c>
      <c r="C91" s="480"/>
      <c r="D91" s="555" t="s">
        <v>2325</v>
      </c>
      <c r="E91" s="480" t="s">
        <v>2325</v>
      </c>
      <c r="F91" s="480"/>
      <c r="G91" s="480"/>
      <c r="H91" s="516"/>
      <c r="I91" s="588" t="str">
        <f t="shared" si="13"/>
        <v>13</v>
      </c>
      <c r="J91" s="588" t="str">
        <f t="shared" si="14"/>
        <v>Удельный расход электрической энергии на подачу воды в сеть</v>
      </c>
      <c r="K91" s="588">
        <f t="shared" si="15"/>
        <v>0</v>
      </c>
      <c r="L91" s="481" t="str">
        <f t="shared" si="16"/>
        <v>13</v>
      </c>
      <c r="M91" s="481" t="str">
        <f t="shared" si="17"/>
        <v>Удельный расход электрической энергии на подачу воды в сеть</v>
      </c>
      <c r="N91" s="481" t="str">
        <f t="shared" si="18"/>
        <v/>
      </c>
      <c r="O91" s="545"/>
      <c r="P91" s="545" t="s">
        <v>160</v>
      </c>
      <c r="Q91" s="545" t="s">
        <v>160</v>
      </c>
      <c r="R91" s="545"/>
      <c r="S91" s="545"/>
      <c r="T91" s="480"/>
      <c r="U91" s="480" t="s">
        <v>2328</v>
      </c>
      <c r="V91" s="480" t="s">
        <v>2328</v>
      </c>
      <c r="W91" s="480"/>
      <c r="X91" s="480"/>
      <c r="Y91" s="585"/>
      <c r="Z91" s="483"/>
      <c r="AA91" s="486"/>
      <c r="AB91" s="483"/>
      <c r="AC91" s="483"/>
      <c r="AD91" s="483"/>
    </row>
    <row r="92" spans="1:30" ht="27" customHeight="1">
      <c r="A92" s="482"/>
      <c r="B92" s="521">
        <v>75</v>
      </c>
      <c r="C92" s="480"/>
      <c r="D92" s="555" t="s">
        <v>2326</v>
      </c>
      <c r="E92" s="480"/>
      <c r="F92" s="480"/>
      <c r="G92" s="480"/>
      <c r="H92" s="516"/>
      <c r="I92" s="588" t="str">
        <f t="shared" si="13"/>
        <v>14</v>
      </c>
      <c r="J92" s="588" t="str">
        <f t="shared" si="14"/>
        <v>Расход воды на собственные нужды, в том числе:</v>
      </c>
      <c r="K92" s="588" t="str">
        <f t="shared" si="15"/>
        <v>Указывается доля общего расхода воды на собственные нужны от объема отпуска воды потребителям.</v>
      </c>
      <c r="L92" s="481" t="str">
        <f t="shared" si="16"/>
        <v>14</v>
      </c>
      <c r="M92" s="481" t="str">
        <f t="shared" si="17"/>
        <v>Расход воды на собственные нужды, в том числе:</v>
      </c>
      <c r="N92" s="481" t="str">
        <f t="shared" si="18"/>
        <v>Указывается доля общего расхода воды на собственные нужны от объема отпуска воды потребителям.</v>
      </c>
      <c r="O92" s="545"/>
      <c r="P92" s="545" t="s">
        <v>161</v>
      </c>
      <c r="Q92" s="545"/>
      <c r="R92" s="545"/>
      <c r="S92" s="545"/>
      <c r="T92" s="480"/>
      <c r="U92" s="480" t="s">
        <v>2329</v>
      </c>
      <c r="V92" s="480"/>
      <c r="W92" s="480"/>
      <c r="X92" s="480"/>
      <c r="Y92" s="585"/>
      <c r="Z92" s="483"/>
      <c r="AA92" s="486" t="s">
        <v>2330</v>
      </c>
      <c r="AB92" s="483"/>
      <c r="AC92" s="483"/>
      <c r="AD92" s="483"/>
    </row>
    <row r="93" spans="1:30" ht="27" customHeight="1">
      <c r="A93" s="482"/>
      <c r="B93" s="521">
        <v>76</v>
      </c>
      <c r="C93" s="480"/>
      <c r="D93" s="555"/>
      <c r="E93" s="480"/>
      <c r="F93" s="480"/>
      <c r="G93" s="480"/>
      <c r="H93" s="516"/>
      <c r="I93" s="588" t="str">
        <f t="shared" si="13"/>
        <v>14.1</v>
      </c>
      <c r="J93" s="588" t="str">
        <f t="shared" si="14"/>
        <v>Расход воды на хозяйственно-бытовые нужды</v>
      </c>
      <c r="K93" s="588" t="str">
        <f t="shared" si="15"/>
        <v>Указывается доля расхода воды на хозяйственно-бытовые нужны от объема отпуска воды потребителям.</v>
      </c>
      <c r="L93" s="481" t="str">
        <f t="shared" si="16"/>
        <v>14.1</v>
      </c>
      <c r="M93" s="481" t="str">
        <f t="shared" si="17"/>
        <v>Расход воды на хозяйственно-бытовые нужды</v>
      </c>
      <c r="N93" s="481" t="str">
        <f t="shared" si="18"/>
        <v>Указывается доля расхода воды на хозяйственно-бытовые нужны от объема отпуска воды потребителям.</v>
      </c>
      <c r="O93" s="545"/>
      <c r="P93" s="545" t="s">
        <v>2238</v>
      </c>
      <c r="Q93" s="545"/>
      <c r="R93" s="545"/>
      <c r="S93" s="545"/>
      <c r="T93" s="480"/>
      <c r="U93" s="480" t="s">
        <v>2331</v>
      </c>
      <c r="V93" s="480"/>
      <c r="W93" s="480"/>
      <c r="X93" s="480"/>
      <c r="Y93" s="585"/>
      <c r="Z93" s="483"/>
      <c r="AA93" s="486" t="s">
        <v>2332</v>
      </c>
      <c r="AB93" s="483"/>
      <c r="AC93" s="483"/>
      <c r="AD93" s="483"/>
    </row>
    <row r="94" spans="1:30" ht="45" customHeight="1">
      <c r="A94" s="482"/>
      <c r="B94" s="521">
        <v>77</v>
      </c>
      <c r="C94" s="480"/>
      <c r="D94" s="555" t="s">
        <v>2327</v>
      </c>
      <c r="E94" s="480"/>
      <c r="F94" s="480"/>
      <c r="G94" s="480"/>
      <c r="H94" s="516"/>
      <c r="I94" s="588" t="str">
        <f t="shared" si="13"/>
        <v>15</v>
      </c>
      <c r="J94" s="588" t="str">
        <f t="shared" si="14"/>
        <v>Показатель использования производственных объектов (по объему перекачки), в том числе:</v>
      </c>
      <c r="K94" s="58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1" t="str">
        <f t="shared" si="16"/>
        <v>15</v>
      </c>
      <c r="M94" s="481" t="str">
        <f t="shared" si="17"/>
        <v>Показатель использования производственных объектов (по объему перекачки), в том числе:</v>
      </c>
      <c r="N94" s="48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5"/>
      <c r="P94" s="545" t="s">
        <v>1109</v>
      </c>
      <c r="Q94" s="545"/>
      <c r="R94" s="545"/>
      <c r="S94" s="545"/>
      <c r="T94" s="480"/>
      <c r="U94" s="480" t="s">
        <v>2333</v>
      </c>
      <c r="V94" s="480"/>
      <c r="W94" s="480"/>
      <c r="X94" s="480"/>
      <c r="Y94" s="585"/>
      <c r="Z94" s="483"/>
      <c r="AA94" s="486" t="s">
        <v>2334</v>
      </c>
      <c r="AB94" s="483"/>
      <c r="AC94" s="483"/>
      <c r="AD94" s="483"/>
    </row>
    <row r="95" spans="1:30" ht="99" customHeight="1">
      <c r="A95" s="482"/>
      <c r="B95" s="521">
        <v>78</v>
      </c>
      <c r="C95" s="480" t="s">
        <v>2335</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1109</v>
      </c>
      <c r="P95" s="545"/>
      <c r="Q95" s="545"/>
      <c r="R95" s="545"/>
      <c r="S95" s="545"/>
      <c r="T95" s="480" t="s">
        <v>2336</v>
      </c>
      <c r="U95" s="480"/>
      <c r="V95" s="480"/>
      <c r="W95" s="480"/>
      <c r="X95" s="480"/>
      <c r="Y95" s="585"/>
      <c r="Z95" s="483"/>
      <c r="AA95" s="486"/>
      <c r="AB95" s="483"/>
      <c r="AC95" s="483"/>
      <c r="AD95" s="483"/>
    </row>
    <row r="96" spans="1:30" ht="99" customHeight="1">
      <c r="A96" s="482"/>
      <c r="B96" s="521">
        <v>79</v>
      </c>
      <c r="C96" s="480" t="s">
        <v>1325</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1111</v>
      </c>
      <c r="P96" s="545"/>
      <c r="Q96" s="545"/>
      <c r="R96" s="545"/>
      <c r="S96" s="545"/>
      <c r="T96" s="480" t="s">
        <v>2337</v>
      </c>
      <c r="U96" s="480"/>
      <c r="V96" s="480"/>
      <c r="W96" s="480"/>
      <c r="X96" s="480"/>
      <c r="Y96" s="585"/>
      <c r="Z96" s="483" t="s">
        <v>2338</v>
      </c>
      <c r="AA96" s="486"/>
      <c r="AB96" s="483"/>
      <c r="AC96" s="483"/>
      <c r="AD96" s="483"/>
    </row>
    <row r="97" spans="1:30" ht="63" customHeight="1">
      <c r="A97" s="482"/>
      <c r="B97" s="521">
        <v>80</v>
      </c>
      <c r="C97" s="480" t="s">
        <v>2339</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1113</v>
      </c>
      <c r="P97" s="545"/>
      <c r="Q97" s="545"/>
      <c r="R97" s="545"/>
      <c r="S97" s="545"/>
      <c r="T97" s="480" t="s">
        <v>2340</v>
      </c>
      <c r="U97" s="480"/>
      <c r="V97" s="480"/>
      <c r="W97" s="480"/>
      <c r="X97" s="480"/>
      <c r="Y97" s="585"/>
      <c r="Z97" s="483" t="s">
        <v>2341</v>
      </c>
      <c r="AA97" s="486"/>
      <c r="AB97" s="483"/>
      <c r="AC97" s="483"/>
      <c r="AD97" s="483"/>
    </row>
    <row r="98" spans="1:30" ht="63" customHeight="1">
      <c r="A98" s="482"/>
      <c r="B98" s="521">
        <v>81</v>
      </c>
      <c r="C98" s="480" t="s">
        <v>2342</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1116</v>
      </c>
      <c r="P98" s="545"/>
      <c r="Q98" s="545"/>
      <c r="R98" s="545"/>
      <c r="S98" s="545"/>
      <c r="T98" s="480" t="s">
        <v>2343</v>
      </c>
      <c r="U98" s="480"/>
      <c r="V98" s="480"/>
      <c r="W98" s="480"/>
      <c r="X98" s="480"/>
      <c r="Y98" s="585"/>
      <c r="Z98" s="483" t="s">
        <v>2341</v>
      </c>
      <c r="AA98" s="486"/>
      <c r="AB98" s="483"/>
      <c r="AC98" s="483"/>
      <c r="AD98" s="483"/>
    </row>
    <row r="99" spans="1:30" ht="90" customHeight="1">
      <c r="A99" s="482"/>
      <c r="B99" s="521">
        <v>82</v>
      </c>
      <c r="C99" s="480" t="s">
        <v>2344</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1118</v>
      </c>
      <c r="P99" s="545"/>
      <c r="Q99" s="545"/>
      <c r="R99" s="545"/>
      <c r="S99" s="545"/>
      <c r="T99" s="480" t="s">
        <v>2345</v>
      </c>
      <c r="U99" s="480"/>
      <c r="V99" s="480"/>
      <c r="W99" s="480"/>
      <c r="X99" s="480"/>
      <c r="Y99" s="585"/>
      <c r="Z99" s="483" t="s">
        <v>648</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2346</v>
      </c>
      <c r="P100" s="545"/>
      <c r="Q100" s="545"/>
      <c r="R100" s="545"/>
      <c r="S100" s="545"/>
      <c r="T100" s="480" t="s">
        <v>2347</v>
      </c>
      <c r="U100" s="480"/>
      <c r="V100" s="480"/>
      <c r="W100" s="480"/>
      <c r="X100" s="480"/>
      <c r="Y100" s="585"/>
      <c r="Z100" s="483" t="s">
        <v>648</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2348</v>
      </c>
      <c r="P101" s="545"/>
      <c r="Q101" s="545"/>
      <c r="R101" s="545"/>
      <c r="S101" s="545"/>
      <c r="T101" s="480" t="s">
        <v>2349</v>
      </c>
      <c r="U101" s="480"/>
      <c r="V101" s="480"/>
      <c r="W101" s="480"/>
      <c r="X101" s="480"/>
      <c r="Y101" s="585"/>
      <c r="Z101" s="483" t="s">
        <v>648</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1805</v>
      </c>
      <c r="B148" s="482"/>
      <c r="C148" s="480" t="s">
        <v>2350</v>
      </c>
      <c r="D148" s="480" t="s">
        <v>1134</v>
      </c>
      <c r="E148" s="480" t="s">
        <v>1807</v>
      </c>
      <c r="F148" s="480" t="s">
        <v>2351</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5"/>
      <c r="O148" s="480"/>
      <c r="P148" s="481"/>
      <c r="Q148" s="481"/>
      <c r="R148" s="481"/>
      <c r="S148" s="480"/>
      <c r="T148" s="480" t="s">
        <v>2352</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1"/>
      <c r="W148" s="481"/>
      <c r="X148" s="480" t="s">
        <v>2353</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1809</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1812</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1817</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92" t="s">
        <v>2354</v>
      </c>
      <c r="M5" s="1592"/>
      <c r="N5" s="1592"/>
      <c r="O5" s="1592"/>
      <c r="P5" s="1592"/>
      <c r="Q5" s="1592"/>
      <c r="R5" s="1592"/>
      <c r="S5" s="1592"/>
      <c r="T5" s="1592"/>
      <c r="U5" s="1592"/>
      <c r="V5" s="59"/>
      <c r="AD5" s="11">
        <v>64</v>
      </c>
    </row>
    <row r="6" spans="1:30" ht="14.65" customHeight="1">
      <c r="J6" s="28"/>
      <c r="K6" s="28"/>
      <c r="L6" s="1593" t="str">
        <f>IF(org=0,"Не определено",org)</f>
        <v>Сургутское городское муниципальное унитарное предприятие "Горводоканал"</v>
      </c>
      <c r="M6" s="1593"/>
      <c r="N6" s="1593"/>
      <c r="O6" s="1593"/>
      <c r="P6" s="1593"/>
      <c r="Q6" s="1593"/>
      <c r="R6" s="1593"/>
      <c r="S6" s="1593"/>
      <c r="T6" s="1593"/>
      <c r="U6" s="1593"/>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86" t="str">
        <f>IF(TITLE_NAME_OR_PR_CHANGE="",IF(TITLE_NAME_OR_PR="","",TITLE_NAME_OR_PR),TITLE_NAME_OR_PR_CHANGE)</f>
        <v/>
      </c>
      <c r="P8" s="1286"/>
      <c r="Q8" s="1286"/>
      <c r="R8" s="1286"/>
      <c r="S8" s="1286"/>
      <c r="T8" s="1286"/>
      <c r="U8" s="1286"/>
      <c r="V8" s="11"/>
      <c r="W8" s="11"/>
      <c r="X8" s="163"/>
      <c r="Y8" s="69"/>
      <c r="Z8" s="69"/>
      <c r="AA8" s="69"/>
      <c r="AB8" s="69"/>
      <c r="AC8" s="69"/>
      <c r="AD8" s="35">
        <v>46</v>
      </c>
    </row>
    <row r="9" spans="1:30" s="35" customFormat="1" ht="24" customHeight="1">
      <c r="A9" s="82"/>
      <c r="B9" s="82"/>
      <c r="C9" s="82"/>
      <c r="D9" s="82"/>
      <c r="E9" s="82"/>
      <c r="F9" s="82"/>
      <c r="G9" s="82"/>
      <c r="H9" s="82"/>
      <c r="L9" s="740"/>
      <c r="M9" s="170" t="s">
        <v>509</v>
      </c>
      <c r="N9" s="175"/>
      <c r="O9" s="1286" t="str">
        <f>IF(TITLE_DATE_CHANGE_PERIOD="",IF(TITLE_DATE_PR="","",TITLE_DATE_PR),TITLE_DATE_CHANGE_PERIOD)</f>
        <v/>
      </c>
      <c r="P9" s="1286"/>
      <c r="Q9" s="1286"/>
      <c r="R9" s="1286"/>
      <c r="S9" s="1286"/>
      <c r="T9" s="1286"/>
      <c r="U9" s="1286"/>
      <c r="V9" s="11"/>
      <c r="W9" s="11"/>
      <c r="X9" s="163"/>
      <c r="Y9" s="69"/>
      <c r="Z9" s="69"/>
      <c r="AA9" s="69"/>
      <c r="AB9" s="69"/>
      <c r="AC9" s="69"/>
      <c r="AD9" s="35">
        <v>23</v>
      </c>
    </row>
    <row r="10" spans="1:30" s="35" customFormat="1" ht="24" customHeight="1">
      <c r="A10" s="82"/>
      <c r="B10" s="82"/>
      <c r="C10" s="82"/>
      <c r="D10" s="82"/>
      <c r="E10" s="82"/>
      <c r="F10" s="82"/>
      <c r="G10" s="82"/>
      <c r="H10" s="82"/>
      <c r="L10" s="342"/>
      <c r="M10" s="170" t="s">
        <v>510</v>
      </c>
      <c r="N10" s="175"/>
      <c r="O10" s="1286" t="str">
        <f>IF(TITLE_NUMBER_PR_CHANGE="",IF(TITLE_NUMBER_PR="","",TITLE_NUMBER_PR),TITLE_NUMBER_PR_CHANGE)</f>
        <v/>
      </c>
      <c r="P10" s="1286"/>
      <c r="Q10" s="1286"/>
      <c r="R10" s="1286"/>
      <c r="S10" s="1286"/>
      <c r="T10" s="1286"/>
      <c r="U10" s="1286"/>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86" t="str">
        <f>IF(TITLE_IST_PUB_CHANGE="",IF(TITLE_IST_PUB="","",TITLE_IST_PUB),TITLE_IST_PUB_CHANGE)</f>
        <v/>
      </c>
      <c r="P11" s="1286"/>
      <c r="Q11" s="1286"/>
      <c r="R11" s="1286"/>
      <c r="S11" s="1286"/>
      <c r="T11" s="1286"/>
      <c r="U11" s="1286"/>
      <c r="V11" s="11"/>
      <c r="W11" s="11"/>
      <c r="X11" s="163"/>
      <c r="Y11" s="69"/>
      <c r="Z11" s="69"/>
      <c r="AA11" s="69"/>
      <c r="AB11" s="69"/>
      <c r="AC11" s="69"/>
      <c r="AD11" s="35">
        <v>23</v>
      </c>
    </row>
    <row r="12" spans="1:30" s="35" customFormat="1" ht="11.25" hidden="1" customHeight="1">
      <c r="A12" s="82"/>
      <c r="B12" s="82"/>
      <c r="C12" s="82"/>
      <c r="D12" s="82"/>
      <c r="E12" s="82"/>
      <c r="F12" s="82"/>
      <c r="G12" s="82"/>
      <c r="H12" s="82"/>
      <c r="L12" s="1591"/>
      <c r="M12" s="1591"/>
      <c r="N12" s="78"/>
      <c r="O12" s="11"/>
      <c r="P12" s="11"/>
      <c r="Q12" s="11"/>
      <c r="R12" s="11"/>
      <c r="S12" s="11"/>
      <c r="T12" s="11"/>
      <c r="U12" s="11"/>
      <c r="V12" s="68" t="s">
        <v>429</v>
      </c>
      <c r="Y12" s="69"/>
      <c r="Z12" s="69"/>
      <c r="AA12" s="69"/>
      <c r="AB12" s="69"/>
      <c r="AC12" s="69"/>
      <c r="AD12" s="35">
        <v>0</v>
      </c>
    </row>
    <row r="13" spans="1:30" ht="14.65" customHeight="1">
      <c r="J13" s="28"/>
      <c r="K13" s="28"/>
      <c r="L13" s="739"/>
      <c r="M13" s="10"/>
      <c r="N13" s="720"/>
      <c r="O13" s="1305"/>
      <c r="P13" s="1305"/>
      <c r="Q13" s="1305"/>
      <c r="R13" s="1305"/>
      <c r="S13" s="1305"/>
      <c r="T13" s="1305"/>
      <c r="U13" s="1305"/>
      <c r="V13" s="1305"/>
      <c r="AD13" s="11">
        <v>14</v>
      </c>
    </row>
    <row r="14" spans="1:30" ht="14.65" customHeight="1">
      <c r="J14" s="28"/>
      <c r="K14" s="28"/>
      <c r="L14" s="1159" t="s">
        <v>306</v>
      </c>
      <c r="M14" s="1159"/>
      <c r="N14" s="1159"/>
      <c r="O14" s="1159"/>
      <c r="P14" s="1159"/>
      <c r="Q14" s="1159"/>
      <c r="R14" s="1159"/>
      <c r="S14" s="1159"/>
      <c r="T14" s="1159"/>
      <c r="U14" s="1159"/>
      <c r="V14" s="1159"/>
      <c r="W14" s="1159"/>
      <c r="X14" s="1159" t="s">
        <v>307</v>
      </c>
      <c r="AD14" s="11">
        <v>14</v>
      </c>
    </row>
    <row r="15" spans="1:30" ht="14.65" customHeight="1">
      <c r="J15" s="28"/>
      <c r="K15" s="28"/>
      <c r="L15" s="1306" t="s">
        <v>88</v>
      </c>
      <c r="M15" s="1254" t="s">
        <v>430</v>
      </c>
      <c r="N15" s="172"/>
      <c r="O15" s="1307" t="s">
        <v>2355</v>
      </c>
      <c r="P15" s="1308"/>
      <c r="Q15" s="1308"/>
      <c r="R15" s="1308"/>
      <c r="S15" s="1308"/>
      <c r="T15" s="1308"/>
      <c r="U15" s="1309"/>
      <c r="V15" s="1310" t="s">
        <v>432</v>
      </c>
      <c r="W15" s="1313" t="s">
        <v>1322</v>
      </c>
      <c r="X15" s="1159"/>
      <c r="AD15" s="11">
        <v>14</v>
      </c>
    </row>
    <row r="16" spans="1:30" ht="35.65" customHeight="1">
      <c r="J16" s="28"/>
      <c r="K16" s="28"/>
      <c r="L16" s="1306"/>
      <c r="M16" s="1254"/>
      <c r="N16" s="607"/>
      <c r="O16" s="1224" t="s">
        <v>435</v>
      </c>
      <c r="P16" s="1224" t="s">
        <v>436</v>
      </c>
      <c r="Q16" s="1123" t="s">
        <v>437</v>
      </c>
      <c r="R16" s="1"/>
      <c r="S16" s="1123" t="s">
        <v>451</v>
      </c>
      <c r="T16" s="1146"/>
      <c r="U16" s="1"/>
      <c r="V16" s="1311"/>
      <c r="W16" s="1314"/>
      <c r="X16" s="1159"/>
      <c r="AD16" s="11">
        <v>34</v>
      </c>
    </row>
    <row r="17" spans="1:30" ht="35.65" customHeight="1">
      <c r="A17" s="82" t="s">
        <v>142</v>
      </c>
      <c r="B17" s="82" t="s">
        <v>143</v>
      </c>
      <c r="C17" s="82" t="s">
        <v>144</v>
      </c>
      <c r="D17" s="82" t="s">
        <v>145</v>
      </c>
      <c r="E17" s="82"/>
      <c r="J17" s="28"/>
      <c r="K17" s="28"/>
      <c r="L17" s="1306"/>
      <c r="M17" s="1254"/>
      <c r="N17" s="173"/>
      <c r="O17" s="1279"/>
      <c r="P17" s="1279"/>
      <c r="Q17" s="39" t="s">
        <v>446</v>
      </c>
      <c r="R17" s="39" t="s">
        <v>447</v>
      </c>
      <c r="S17" s="39" t="s">
        <v>448</v>
      </c>
      <c r="T17" s="1259" t="s">
        <v>449</v>
      </c>
      <c r="U17" s="1273"/>
      <c r="V17" s="1312"/>
      <c r="W17" s="1315"/>
      <c r="X17" s="1159"/>
      <c r="AD17" s="11">
        <v>34</v>
      </c>
    </row>
    <row r="18" spans="1:30" s="203" customFormat="1" ht="11.45" customHeight="1">
      <c r="A18" s="82"/>
      <c r="B18" s="82"/>
      <c r="C18" s="82"/>
      <c r="D18" s="82"/>
      <c r="E18" s="82"/>
      <c r="F18" s="506"/>
      <c r="G18" s="506"/>
      <c r="H18" s="506"/>
      <c r="I18" s="722"/>
      <c r="J18" s="723"/>
      <c r="K18" s="725">
        <v>1</v>
      </c>
      <c r="L18" s="741" t="s">
        <v>109</v>
      </c>
      <c r="M18" s="726" t="s">
        <v>110</v>
      </c>
      <c r="N18" s="721" t="str">
        <f ca="1">OFFSET(N18,0,-1)</f>
        <v>2</v>
      </c>
      <c r="O18" s="727">
        <f ca="1">OFFSET(O18,0,-1)+1</f>
        <v>3</v>
      </c>
      <c r="P18" s="727"/>
      <c r="Q18" s="727">
        <f ca="1">OFFSET(Q18,0,-1)+1</f>
        <v>1</v>
      </c>
      <c r="R18" s="727">
        <f ca="1">OFFSET(R18,0,-1)+1</f>
        <v>2</v>
      </c>
      <c r="S18" s="727">
        <f ca="1">OFFSET(S18,0,-1)+1</f>
        <v>3</v>
      </c>
      <c r="T18" s="1304">
        <f ca="1">OFFSET(T18,0,-1)+1</f>
        <v>4</v>
      </c>
      <c r="U18" s="1304"/>
      <c r="V18" s="727">
        <f ca="1">OFFSET(V18,0,-2)+1</f>
        <v>5</v>
      </c>
      <c r="W18" s="721">
        <f ca="1">OFFSET(W18,0,-1)</f>
        <v>5</v>
      </c>
      <c r="X18" s="727">
        <f ca="1">OFFSET(X18,0,-1)+1</f>
        <v>6</v>
      </c>
      <c r="Y18" s="68"/>
      <c r="Z18" s="68"/>
      <c r="AA18" s="68"/>
      <c r="AB18" s="68"/>
      <c r="AC18" s="68"/>
      <c r="AD18" s="203">
        <v>11</v>
      </c>
    </row>
    <row r="19" spans="1:30" ht="21" customHeight="1">
      <c r="A19" s="769" t="s">
        <v>176</v>
      </c>
      <c r="B19" s="769" t="s">
        <v>177</v>
      </c>
      <c r="C19" s="769" t="s">
        <v>178</v>
      </c>
      <c r="D19" s="769" t="s">
        <v>179</v>
      </c>
      <c r="E19" s="769"/>
      <c r="F19" s="426"/>
      <c r="G19" s="426"/>
      <c r="H19" s="426"/>
      <c r="J19" s="34"/>
      <c r="K19" s="207"/>
      <c r="L19" s="709">
        <f>INDEX(PT_DIFFERENTIATION_NUM_NTAR,MATCH(A19,PT_DIFFERENTIATION_NTAR_ID,0))</f>
        <v>0</v>
      </c>
      <c r="M19" s="67" t="s">
        <v>131</v>
      </c>
      <c r="N19" s="171"/>
      <c r="O19" s="1590" t="str">
        <f>INDEX(PT_DIFFERENTIATION_NTAR,MATCH(A19,PT_DIFFERENTIATION_NTAR_ID,0))</f>
        <v/>
      </c>
      <c r="P19" s="1590"/>
      <c r="Q19" s="1590"/>
      <c r="R19" s="1590"/>
      <c r="S19" s="1590"/>
      <c r="T19" s="1590"/>
      <c r="U19" s="1590"/>
      <c r="V19" s="1590"/>
      <c r="W19" s="1590"/>
      <c r="X19" s="729" t="s">
        <v>402</v>
      </c>
      <c r="Z19" s="69"/>
      <c r="AA19" s="69" t="str">
        <f t="shared" ref="AA19:AA32" si="0">IF(M19="","",M19)</f>
        <v>Наименование тарифа</v>
      </c>
      <c r="AB19" s="69"/>
      <c r="AC19" s="69"/>
      <c r="AD19" s="11">
        <v>20</v>
      </c>
    </row>
    <row r="20" spans="1:30" ht="21" customHeight="1">
      <c r="A20" s="769" t="s">
        <v>176</v>
      </c>
      <c r="B20" s="769" t="s">
        <v>177</v>
      </c>
      <c r="C20" s="769" t="s">
        <v>178</v>
      </c>
      <c r="D20" s="769" t="s">
        <v>179</v>
      </c>
      <c r="E20" s="769"/>
      <c r="F20" s="426"/>
      <c r="G20" s="426"/>
      <c r="H20" s="426"/>
      <c r="I20" s="58"/>
      <c r="J20" s="204"/>
      <c r="K20" s="205"/>
      <c r="L20" s="709" t="str">
        <f>INDEX(PT_DIFFERENTIATION_NUM_TER,MATCH(B19,PT_DIFFERENTIATION_TER_ID,0))</f>
        <v>.</v>
      </c>
      <c r="M20" s="177" t="s">
        <v>403</v>
      </c>
      <c r="N20" s="171"/>
      <c r="O20" s="1590" t="str">
        <f>INDEX(PT_DIFFERENTIATION_TER,MATCH(B19,PT_DIFFERENTIATION_TER_ID,0))</f>
        <v/>
      </c>
      <c r="P20" s="1590"/>
      <c r="Q20" s="1590"/>
      <c r="R20" s="1590"/>
      <c r="S20" s="1590"/>
      <c r="T20" s="1590"/>
      <c r="U20" s="1590"/>
      <c r="V20" s="1590"/>
      <c r="W20" s="1590"/>
      <c r="X20" s="729" t="s">
        <v>404</v>
      </c>
      <c r="Z20" s="69"/>
      <c r="AA20" s="69" t="str">
        <f t="shared" si="0"/>
        <v>Территория действия тарифа</v>
      </c>
      <c r="AB20" s="69"/>
      <c r="AC20" s="69"/>
      <c r="AD20" s="11">
        <v>20</v>
      </c>
    </row>
    <row r="21" spans="1:30" ht="24" customHeight="1">
      <c r="A21" s="769" t="s">
        <v>176</v>
      </c>
      <c r="B21" s="769" t="s">
        <v>177</v>
      </c>
      <c r="C21" s="769" t="s">
        <v>178</v>
      </c>
      <c r="D21" s="769" t="s">
        <v>179</v>
      </c>
      <c r="E21" s="769"/>
      <c r="F21" s="426"/>
      <c r="G21" s="426"/>
      <c r="H21" s="426"/>
      <c r="I21" s="206"/>
      <c r="J21" s="204"/>
      <c r="K21" s="205"/>
      <c r="L21" s="709" t="str">
        <f>INDEX(PT_DIFFERENTIATION_NUM_CS,MATCH(C19,PT_DIFFERENTIATION_CS_ID,0))</f>
        <v>..</v>
      </c>
      <c r="M21" s="178" t="s">
        <v>405</v>
      </c>
      <c r="N21" s="171"/>
      <c r="O21" s="1590" t="str">
        <f>INDEX(PT_DIFFERENTIATION_CS,MATCH(C19,PT_DIFFERENTIATION_CS_ID,0))</f>
        <v/>
      </c>
      <c r="P21" s="1590"/>
      <c r="Q21" s="1590"/>
      <c r="R21" s="1590"/>
      <c r="S21" s="1590"/>
      <c r="T21" s="1590"/>
      <c r="U21" s="1590"/>
      <c r="V21" s="1590"/>
      <c r="W21" s="1590"/>
      <c r="X21" s="729" t="s">
        <v>406</v>
      </c>
      <c r="Z21" s="69"/>
      <c r="AA21" s="69" t="str">
        <f t="shared" si="0"/>
        <v xml:space="preserve">Наименование системы теплоснабжения </v>
      </c>
      <c r="AB21" s="69"/>
      <c r="AC21" s="69"/>
      <c r="AD21" s="11">
        <v>23</v>
      </c>
    </row>
    <row r="22" spans="1:30" ht="21" customHeight="1">
      <c r="A22" s="769" t="s">
        <v>176</v>
      </c>
      <c r="B22" s="769" t="s">
        <v>177</v>
      </c>
      <c r="C22" s="769" t="s">
        <v>178</v>
      </c>
      <c r="D22" s="769" t="s">
        <v>179</v>
      </c>
      <c r="E22" s="769"/>
      <c r="F22" s="426"/>
      <c r="G22" s="426"/>
      <c r="H22" s="426"/>
      <c r="I22" s="206"/>
      <c r="J22" s="204"/>
      <c r="K22" s="205"/>
      <c r="L22" s="709" t="str">
        <f>INDEX(PT_DIFFERENTIATION_NUM_IST_TE,MATCH(D19,PT_DIFFERENTIATION_IST_TE_ID,0))</f>
        <v>...</v>
      </c>
      <c r="M22" s="179" t="s">
        <v>407</v>
      </c>
      <c r="N22" s="171"/>
      <c r="O22" s="1590" t="str">
        <f>INDEX(PT_DIFFERENTIATION_IST_TE,MATCH(D19,PT_DIFFERENTIATION_IST_TE_ID,0))</f>
        <v/>
      </c>
      <c r="P22" s="1590"/>
      <c r="Q22" s="1590"/>
      <c r="R22" s="1590"/>
      <c r="S22" s="1590"/>
      <c r="T22" s="1590"/>
      <c r="U22" s="1590"/>
      <c r="V22" s="1590"/>
      <c r="W22" s="1590"/>
      <c r="X22" s="729" t="s">
        <v>408</v>
      </c>
      <c r="Z22" s="69"/>
      <c r="AA22" s="69" t="str">
        <f t="shared" si="0"/>
        <v xml:space="preserve">Источник тепловой энергии  </v>
      </c>
      <c r="AB22" s="69"/>
      <c r="AC22" s="69"/>
      <c r="AD22" s="11">
        <v>20</v>
      </c>
    </row>
    <row r="23" spans="1:30" ht="96.75" customHeight="1">
      <c r="A23" s="769" t="s">
        <v>176</v>
      </c>
      <c r="B23" s="769" t="s">
        <v>177</v>
      </c>
      <c r="C23" s="769" t="s">
        <v>178</v>
      </c>
      <c r="D23" s="769" t="s">
        <v>179</v>
      </c>
      <c r="E23" s="769"/>
      <c r="F23" s="1271" t="str">
        <f>L22&amp;".1"</f>
        <v>....1</v>
      </c>
      <c r="I23" s="1297">
        <v>1</v>
      </c>
      <c r="J23" s="122"/>
      <c r="K23" s="208"/>
      <c r="L23" s="709" t="str">
        <f>$F$23</f>
        <v>....1</v>
      </c>
      <c r="M23" s="164" t="s">
        <v>410</v>
      </c>
      <c r="N23" s="171"/>
      <c r="O23" s="1327"/>
      <c r="P23" s="1327"/>
      <c r="Q23" s="1327"/>
      <c r="R23" s="1327"/>
      <c r="S23" s="1327"/>
      <c r="T23" s="1327"/>
      <c r="U23" s="1327"/>
      <c r="V23" s="1327"/>
      <c r="W23" s="1327"/>
      <c r="X23" s="729" t="s">
        <v>411</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176</v>
      </c>
      <c r="B24" s="769" t="s">
        <v>177</v>
      </c>
      <c r="C24" s="769" t="s">
        <v>178</v>
      </c>
      <c r="D24" s="769" t="s">
        <v>179</v>
      </c>
      <c r="E24" s="769"/>
      <c r="F24" s="1271"/>
      <c r="G24" s="1271" t="str">
        <f>F23&amp;".1"</f>
        <v>....1.1</v>
      </c>
      <c r="I24" s="1297"/>
      <c r="J24" s="1297">
        <v>1</v>
      </c>
      <c r="K24" s="209"/>
      <c r="L24" s="709" t="str">
        <f>$G$24</f>
        <v>....1.1</v>
      </c>
      <c r="M24" s="165" t="s">
        <v>413</v>
      </c>
      <c r="N24" s="171"/>
      <c r="O24" s="1281"/>
      <c r="P24" s="1282"/>
      <c r="Q24" s="1282"/>
      <c r="R24" s="1282"/>
      <c r="S24" s="1282"/>
      <c r="T24" s="1282"/>
      <c r="U24" s="1282"/>
      <c r="V24" s="1282"/>
      <c r="W24" s="1283"/>
      <c r="X24" s="729" t="s">
        <v>414</v>
      </c>
      <c r="Z24" s="69"/>
      <c r="AA24" s="69" t="str">
        <f t="shared" si="0"/>
        <v>Группа потребителей</v>
      </c>
      <c r="AB24" s="69"/>
      <c r="AC24" s="69"/>
      <c r="AD24" s="11">
        <v>82</v>
      </c>
    </row>
    <row r="25" spans="1:30" ht="11.45" customHeight="1">
      <c r="A25" s="769" t="s">
        <v>176</v>
      </c>
      <c r="B25" s="769" t="s">
        <v>177</v>
      </c>
      <c r="C25" s="769" t="s">
        <v>178</v>
      </c>
      <c r="D25" s="769" t="s">
        <v>179</v>
      </c>
      <c r="E25" s="769"/>
      <c r="F25" s="1271"/>
      <c r="G25" s="1271"/>
      <c r="H25" s="1271" t="str">
        <f>G24&amp;".1"</f>
        <v>....1.1.1</v>
      </c>
      <c r="I25" s="1297"/>
      <c r="J25" s="1297"/>
      <c r="K25" s="209">
        <v>1</v>
      </c>
      <c r="L25" s="709" t="str">
        <f>$H$25</f>
        <v>....1.1.1</v>
      </c>
      <c r="M25" s="765"/>
      <c r="N25" s="171"/>
      <c r="O25" s="306"/>
      <c r="P25" s="191"/>
      <c r="Q25" s="306"/>
      <c r="R25" s="728"/>
      <c r="S25" s="1298"/>
      <c r="T25" s="1169" t="s">
        <v>62</v>
      </c>
      <c r="U25" s="1298"/>
      <c r="V25" s="1169" t="s">
        <v>19</v>
      </c>
      <c r="W25" s="191"/>
      <c r="X25" s="1316" t="s">
        <v>416</v>
      </c>
      <c r="Y25" s="68" t="e">
        <f ca="1">STRCHECKDATE(O26:W26)</f>
        <v>#NAME?</v>
      </c>
      <c r="Z25" s="69"/>
      <c r="AA25" s="69" t="str">
        <f t="shared" si="0"/>
        <v/>
      </c>
      <c r="AB25" s="69"/>
      <c r="AC25" s="69"/>
      <c r="AD25" s="11">
        <v>11</v>
      </c>
    </row>
    <row r="26" spans="1:30" ht="11.45" customHeight="1">
      <c r="A26" s="769" t="s">
        <v>176</v>
      </c>
      <c r="B26" s="769" t="s">
        <v>177</v>
      </c>
      <c r="C26" s="769" t="s">
        <v>178</v>
      </c>
      <c r="D26" s="769" t="s">
        <v>179</v>
      </c>
      <c r="E26" s="769"/>
      <c r="F26" s="1271"/>
      <c r="G26" s="1271"/>
      <c r="H26" s="1271"/>
      <c r="I26" s="1297"/>
      <c r="J26" s="1297"/>
      <c r="K26" s="209"/>
      <c r="L26" s="65"/>
      <c r="M26" s="171"/>
      <c r="N26" s="171"/>
      <c r="O26" s="191"/>
      <c r="P26" s="191"/>
      <c r="Q26" s="191"/>
      <c r="R26" s="192" t="str">
        <f>S25&amp;"-"&amp;U25</f>
        <v>-</v>
      </c>
      <c r="S26" s="1299"/>
      <c r="T26" s="1169"/>
      <c r="U26" s="1299"/>
      <c r="V26" s="1169"/>
      <c r="W26" s="191"/>
      <c r="X26" s="1317"/>
      <c r="Z26" s="69"/>
      <c r="AA26" s="69" t="str">
        <f t="shared" si="0"/>
        <v/>
      </c>
      <c r="AB26" s="69"/>
      <c r="AC26" s="69"/>
      <c r="AD26" s="11">
        <v>11</v>
      </c>
    </row>
    <row r="27" spans="1:30" ht="15.75" customHeight="1">
      <c r="A27" s="769" t="s">
        <v>176</v>
      </c>
      <c r="B27" s="769" t="s">
        <v>177</v>
      </c>
      <c r="C27" s="769" t="s">
        <v>178</v>
      </c>
      <c r="D27" s="769" t="s">
        <v>179</v>
      </c>
      <c r="E27" s="769"/>
      <c r="F27" s="1271"/>
      <c r="G27" s="1271"/>
      <c r="I27" s="1297"/>
      <c r="J27" s="1297"/>
      <c r="K27" s="208"/>
      <c r="L27" s="742"/>
      <c r="M27" s="167" t="s">
        <v>417</v>
      </c>
      <c r="N27" s="213"/>
      <c r="O27" s="213"/>
      <c r="P27" s="213"/>
      <c r="Q27" s="213"/>
      <c r="R27" s="213"/>
      <c r="S27" s="213"/>
      <c r="T27" s="213"/>
      <c r="U27" s="213"/>
      <c r="V27" s="213"/>
      <c r="W27" s="190"/>
      <c r="X27" s="1318"/>
      <c r="Z27" s="69"/>
      <c r="AA27" s="69" t="str">
        <f t="shared" si="0"/>
        <v>Добавить вид теплоносителя (параметры теплоносителя)</v>
      </c>
      <c r="AB27" s="69"/>
      <c r="AC27" s="69"/>
      <c r="AD27" s="11">
        <v>15</v>
      </c>
    </row>
    <row r="28" spans="1:30" ht="15.75" customHeight="1">
      <c r="A28" s="769" t="s">
        <v>176</v>
      </c>
      <c r="B28" s="769" t="s">
        <v>177</v>
      </c>
      <c r="C28" s="769" t="s">
        <v>178</v>
      </c>
      <c r="D28" s="769" t="s">
        <v>179</v>
      </c>
      <c r="E28" s="769"/>
      <c r="F28" s="1271"/>
      <c r="I28" s="1297"/>
      <c r="J28" s="122"/>
      <c r="K28" s="208"/>
      <c r="L28" s="742"/>
      <c r="M28" s="166" t="s">
        <v>418</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176</v>
      </c>
      <c r="B29" s="769" t="s">
        <v>177</v>
      </c>
      <c r="C29" s="769" t="s">
        <v>178</v>
      </c>
      <c r="D29" s="769" t="s">
        <v>179</v>
      </c>
      <c r="E29" s="769"/>
      <c r="F29" s="426"/>
      <c r="G29" s="426"/>
      <c r="H29" s="63"/>
      <c r="I29" s="34"/>
      <c r="J29" s="216"/>
      <c r="K29" s="207"/>
      <c r="L29" s="742"/>
      <c r="M29" s="211" t="s">
        <v>419</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176</v>
      </c>
      <c r="B30" s="769" t="s">
        <v>177</v>
      </c>
      <c r="C30" s="769" t="s">
        <v>178</v>
      </c>
      <c r="D30" s="769"/>
      <c r="E30" s="769" t="s">
        <v>594</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176</v>
      </c>
      <c r="B31" s="769" t="s">
        <v>177</v>
      </c>
      <c r="C31" s="769"/>
      <c r="D31" s="769"/>
      <c r="E31" s="769" t="s">
        <v>2356</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2357</v>
      </c>
      <c r="B32" s="769"/>
      <c r="C32" s="769"/>
      <c r="D32" s="769"/>
      <c r="E32" s="769" t="s">
        <v>104</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450</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838</v>
      </c>
      <c r="M35" s="1292" t="s">
        <v>2358</v>
      </c>
      <c r="N35" s="1292"/>
      <c r="O35" s="1292"/>
      <c r="P35" s="1292"/>
      <c r="Q35" s="1292"/>
      <c r="R35" s="1292"/>
      <c r="S35" s="1292"/>
      <c r="T35" s="1292"/>
      <c r="U35" s="1292"/>
      <c r="V35" s="1292"/>
      <c r="W35" s="1292"/>
      <c r="X35" s="1292"/>
      <c r="AD35" s="11">
        <v>27</v>
      </c>
    </row>
    <row r="36" spans="1:30" ht="109.15" customHeight="1">
      <c r="H36" s="63"/>
      <c r="M36" s="1292" t="s">
        <v>2359</v>
      </c>
      <c r="N36" s="1292"/>
      <c r="O36" s="1292"/>
      <c r="P36" s="1292"/>
      <c r="Q36" s="1292"/>
      <c r="R36" s="1292"/>
      <c r="S36" s="1292"/>
      <c r="T36" s="1292"/>
      <c r="U36" s="1292"/>
      <c r="V36" s="1292"/>
      <c r="W36" s="1292"/>
      <c r="X36" s="1292"/>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305</v>
      </c>
      <c r="J1" s="254" t="s">
        <v>14</v>
      </c>
    </row>
    <row r="2" spans="1:10" ht="11.25" hidden="1" customHeight="1">
      <c r="J2" s="254">
        <v>0</v>
      </c>
    </row>
    <row r="3" spans="1:10" s="272" customFormat="1" ht="11.45" customHeight="1">
      <c r="A3" s="7"/>
      <c r="B3" s="288"/>
      <c r="D3" s="273"/>
      <c r="J3" s="272">
        <v>11</v>
      </c>
    </row>
    <row r="4" spans="1:10" ht="27.4" customHeight="1">
      <c r="D4" s="1215" t="str">
        <f>ORG_INFO_NAME_FORM</f>
        <v>Форма 1. Информация об организации, осуществляющей холодное водоснабжение (общая информация)</v>
      </c>
      <c r="E4" s="1216"/>
      <c r="F4" s="1217"/>
      <c r="I4" s="413"/>
      <c r="J4" s="254">
        <v>26</v>
      </c>
    </row>
    <row r="5" spans="1:10" ht="18" customHeight="1">
      <c r="D5" s="1246" t="str">
        <f>IF(org=0,"Не определено",org)</f>
        <v>Сургутское городское муниципальное унитарное предприятие "Горводоканал"</v>
      </c>
      <c r="E5" s="1246"/>
      <c r="F5" s="1246"/>
      <c r="I5" s="413"/>
      <c r="J5" s="254">
        <v>17</v>
      </c>
    </row>
    <row r="6" spans="1:10" s="272" customFormat="1" ht="11.45" customHeight="1">
      <c r="A6" s="7"/>
      <c r="B6" s="288"/>
      <c r="D6" s="412"/>
      <c r="E6" s="412"/>
      <c r="F6" s="435"/>
      <c r="G6" s="412"/>
      <c r="J6" s="272">
        <v>11</v>
      </c>
    </row>
    <row r="7" spans="1:10" ht="11.25" hidden="1" customHeight="1">
      <c r="A7" s="10"/>
      <c r="B7" s="289"/>
      <c r="C7" s="10"/>
      <c r="D7" s="14"/>
      <c r="E7" s="1252"/>
      <c r="F7" s="1252"/>
      <c r="J7" s="254">
        <v>0</v>
      </c>
    </row>
    <row r="8" spans="1:10" ht="11.45" customHeight="1">
      <c r="A8" s="10"/>
      <c r="B8" s="289"/>
      <c r="C8" s="10"/>
      <c r="D8" s="1249" t="s">
        <v>306</v>
      </c>
      <c r="E8" s="1250"/>
      <c r="F8" s="1250"/>
      <c r="G8" s="1253" t="s">
        <v>307</v>
      </c>
      <c r="J8" s="254">
        <v>11</v>
      </c>
    </row>
    <row r="9" spans="1:10" ht="11.45" customHeight="1">
      <c r="A9" s="10"/>
      <c r="B9" s="289"/>
      <c r="C9" s="10"/>
      <c r="D9" s="268" t="s">
        <v>88</v>
      </c>
      <c r="E9" s="252" t="s">
        <v>308</v>
      </c>
      <c r="F9" s="252" t="s">
        <v>309</v>
      </c>
      <c r="G9" s="1254"/>
      <c r="J9" s="254">
        <v>11</v>
      </c>
    </row>
    <row r="10" spans="1:10" ht="12" hidden="1" customHeight="1">
      <c r="A10" s="10"/>
      <c r="B10" s="289"/>
      <c r="C10" s="10"/>
      <c r="D10" s="261"/>
      <c r="E10" s="261"/>
      <c r="F10" s="261"/>
      <c r="G10" s="261"/>
      <c r="J10" s="254">
        <v>0</v>
      </c>
    </row>
    <row r="11" spans="1:10" ht="22.5" hidden="1" customHeight="1">
      <c r="A11" s="10"/>
      <c r="B11" s="289"/>
      <c r="C11" s="10"/>
      <c r="D11" s="592" t="s">
        <v>109</v>
      </c>
      <c r="E11" s="317" t="s">
        <v>310</v>
      </c>
      <c r="F11" s="362" t="str">
        <f>IF(region_name="","",region_name)</f>
        <v>Ханты-Мансийский автономный округ</v>
      </c>
      <c r="G11" s="317" t="s">
        <v>311</v>
      </c>
      <c r="H11" s="270"/>
      <c r="J11" s="254">
        <v>0</v>
      </c>
    </row>
    <row r="12" spans="1:10" ht="22.5" hidden="1" customHeight="1">
      <c r="A12" s="10"/>
      <c r="B12" s="289"/>
      <c r="C12" s="10"/>
      <c r="D12" s="251" t="s">
        <v>109</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312</v>
      </c>
      <c r="G12" s="269"/>
      <c r="H12" s="270"/>
      <c r="J12" s="254">
        <v>0</v>
      </c>
    </row>
    <row r="13" spans="1:10" ht="23.25" customHeight="1">
      <c r="A13" s="10"/>
      <c r="B13" s="289"/>
      <c r="C13" s="10"/>
      <c r="D13" s="251" t="s">
        <v>109</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313</v>
      </c>
      <c r="E14" s="593" t="s">
        <v>314</v>
      </c>
      <c r="F14" s="362" t="str">
        <f>IF(inn="","",inn)</f>
        <v>8602016725</v>
      </c>
      <c r="G14" s="317" t="s">
        <v>315</v>
      </c>
      <c r="H14" s="270"/>
      <c r="J14" s="254">
        <v>0</v>
      </c>
    </row>
    <row r="15" spans="1:10" ht="22.5" hidden="1" customHeight="1">
      <c r="A15" s="10"/>
      <c r="B15" s="289"/>
      <c r="C15" s="10"/>
      <c r="D15" s="592" t="s">
        <v>316</v>
      </c>
      <c r="E15" s="593" t="s">
        <v>317</v>
      </c>
      <c r="F15" s="362" t="str">
        <f>IF(kpp="","",kpp)</f>
        <v>860201001</v>
      </c>
      <c r="G15" s="317" t="s">
        <v>318</v>
      </c>
      <c r="H15" s="270"/>
      <c r="J15" s="254">
        <v>0</v>
      </c>
    </row>
    <row r="16" spans="1:10" ht="39" customHeight="1">
      <c r="A16" s="10"/>
      <c r="B16" s="289"/>
      <c r="C16" s="10"/>
      <c r="D16" s="251" t="s">
        <v>110</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47" t="s">
        <v>319</v>
      </c>
      <c r="B19" s="289"/>
      <c r="C19" s="1258"/>
      <c r="D19" s="251" t="str">
        <f>A19</f>
        <v>5.1</v>
      </c>
      <c r="E19" s="249" t="s">
        <v>320</v>
      </c>
      <c r="F19" s="39" t="s">
        <v>312</v>
      </c>
      <c r="G19" s="250" t="s">
        <v>321</v>
      </c>
      <c r="H19" s="270"/>
      <c r="I19" s="489"/>
      <c r="J19" s="254">
        <v>0</v>
      </c>
    </row>
    <row r="20" spans="1:10" ht="24" hidden="1" customHeight="1">
      <c r="A20" s="1247"/>
      <c r="B20" s="289"/>
      <c r="C20" s="1258"/>
      <c r="D20" s="247" t="str">
        <f>D19&amp;".1"</f>
        <v>5.1.1</v>
      </c>
      <c r="E20" s="246" t="s">
        <v>322</v>
      </c>
      <c r="F20" s="510" t="s">
        <v>22</v>
      </c>
      <c r="G20" s="269"/>
      <c r="H20" s="270"/>
      <c r="I20" s="489"/>
      <c r="J20" s="254">
        <v>0</v>
      </c>
    </row>
    <row r="21" spans="1:10" ht="22.5" hidden="1" customHeight="1">
      <c r="A21" s="1247"/>
      <c r="B21" s="289"/>
      <c r="C21" s="1258"/>
      <c r="D21" s="247" t="str">
        <f>D19&amp;".2"</f>
        <v>5.1.2</v>
      </c>
      <c r="E21" s="246" t="s">
        <v>323</v>
      </c>
      <c r="F21" s="942" t="s">
        <v>22</v>
      </c>
      <c r="G21" s="250" t="s">
        <v>324</v>
      </c>
      <c r="H21" s="270"/>
      <c r="I21" s="489"/>
      <c r="J21" s="254">
        <v>0</v>
      </c>
    </row>
    <row r="22" spans="1:10" ht="22.5" hidden="1" customHeight="1">
      <c r="A22" s="1247"/>
      <c r="B22" s="289"/>
      <c r="C22" s="1258"/>
      <c r="D22" s="247" t="str">
        <f>D19&amp;".3"</f>
        <v>5.1.3</v>
      </c>
      <c r="E22" s="246" t="s">
        <v>325</v>
      </c>
      <c r="F22" s="510" t="s">
        <v>22</v>
      </c>
      <c r="G22" s="269"/>
      <c r="H22" s="270"/>
      <c r="I22" s="489"/>
      <c r="J22" s="254">
        <v>0</v>
      </c>
    </row>
    <row r="23" spans="1:10" ht="22.5" hidden="1" customHeight="1">
      <c r="A23" s="1247"/>
      <c r="B23" s="289"/>
      <c r="C23" s="1258"/>
      <c r="D23" s="247" t="str">
        <f>D19&amp;".4"</f>
        <v>5.1.4</v>
      </c>
      <c r="E23" s="246" t="s">
        <v>326</v>
      </c>
      <c r="F23" s="510" t="s">
        <v>22</v>
      </c>
      <c r="G23" s="250" t="s">
        <v>327</v>
      </c>
      <c r="H23" s="270"/>
      <c r="I23" s="489"/>
      <c r="J23" s="254">
        <v>0</v>
      </c>
    </row>
    <row r="24" spans="1:10" ht="22.5" hidden="1" customHeight="1">
      <c r="A24" s="1048"/>
      <c r="B24" s="289"/>
      <c r="C24" s="282"/>
      <c r="D24" s="263"/>
      <c r="E24" s="110" t="s">
        <v>328</v>
      </c>
      <c r="F24" s="264"/>
      <c r="G24" s="265"/>
      <c r="H24" s="270"/>
      <c r="I24" s="489"/>
      <c r="J24" s="254">
        <v>0</v>
      </c>
    </row>
    <row r="25" spans="1:10" s="288" customFormat="1" ht="24.75" hidden="1" customHeight="1">
      <c r="A25" s="10"/>
      <c r="B25" s="289"/>
      <c r="C25" s="289"/>
      <c r="D25" s="589" t="s">
        <v>90</v>
      </c>
      <c r="E25" s="591" t="s">
        <v>329</v>
      </c>
      <c r="F25" s="316" t="s">
        <v>312</v>
      </c>
      <c r="G25" s="591"/>
      <c r="J25" s="288">
        <v>0</v>
      </c>
    </row>
    <row r="26" spans="1:10" s="288" customFormat="1" ht="11.25" hidden="1" customHeight="1">
      <c r="A26" s="10"/>
      <c r="B26" s="289"/>
      <c r="C26" s="289"/>
      <c r="D26" s="589" t="s">
        <v>330</v>
      </c>
      <c r="E26" s="590" t="s">
        <v>331</v>
      </c>
      <c r="F26" s="316" t="s">
        <v>312</v>
      </c>
      <c r="G26" s="591"/>
      <c r="J26" s="288">
        <v>0</v>
      </c>
    </row>
    <row r="27" spans="1:10" s="288" customFormat="1" ht="11.25" hidden="1" customHeight="1">
      <c r="A27" s="10"/>
      <c r="B27" s="289"/>
      <c r="C27" s="289"/>
      <c r="D27" s="589" t="s">
        <v>332</v>
      </c>
      <c r="E27" s="594" t="s">
        <v>333</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334</v>
      </c>
      <c r="E28" s="594" t="s">
        <v>335</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336</v>
      </c>
      <c r="E29" s="594" t="s">
        <v>337</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338</v>
      </c>
      <c r="E30" s="590" t="s">
        <v>339</v>
      </c>
      <c r="F30" s="595"/>
      <c r="G30" s="591"/>
      <c r="J30" s="288">
        <v>0</v>
      </c>
    </row>
    <row r="31" spans="1:10" s="288" customFormat="1" ht="11.25" hidden="1" customHeight="1">
      <c r="A31" s="10"/>
      <c r="B31" s="289"/>
      <c r="C31" s="289"/>
      <c r="D31" s="589" t="s">
        <v>340</v>
      </c>
      <c r="E31" s="590" t="s">
        <v>341</v>
      </c>
      <c r="F31" s="595"/>
      <c r="G31" s="591"/>
      <c r="J31" s="288">
        <v>0</v>
      </c>
    </row>
    <row r="32" spans="1:10" s="288" customFormat="1" ht="11.25" hidden="1" customHeight="1">
      <c r="A32" s="10"/>
      <c r="B32" s="289"/>
      <c r="C32" s="289"/>
      <c r="D32" s="589" t="s">
        <v>342</v>
      </c>
      <c r="E32" s="590" t="s">
        <v>343</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312</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65"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344</v>
      </c>
      <c r="H37" s="270"/>
      <c r="J37" s="254">
        <v>34</v>
      </c>
    </row>
    <row r="38" spans="1:10" ht="35.65"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344</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312</v>
      </c>
      <c r="G39" s="12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56"/>
      <c r="H40" s="270"/>
      <c r="J40" s="254">
        <v>0</v>
      </c>
    </row>
    <row r="41" spans="1:10" ht="23.25" customHeight="1">
      <c r="A41" s="10"/>
      <c r="B41" s="10"/>
      <c r="C41" s="23"/>
      <c r="D41" s="247" t="str">
        <f>D39&amp;".1"</f>
        <v>8.1</v>
      </c>
      <c r="E41" s="497"/>
      <c r="F41" s="401"/>
      <c r="G41" s="1256"/>
      <c r="H41" s="270"/>
      <c r="J41" s="254">
        <v>22</v>
      </c>
    </row>
    <row r="42" spans="1:10" ht="15.75" customHeight="1">
      <c r="A42" s="10"/>
      <c r="B42" s="289"/>
      <c r="C42" s="10"/>
      <c r="D42" s="263"/>
      <c r="E42" s="110" t="s">
        <v>345</v>
      </c>
      <c r="F42" s="265"/>
      <c r="G42" s="1257"/>
      <c r="H42" s="271"/>
      <c r="J42" s="254">
        <v>15</v>
      </c>
    </row>
    <row r="43" spans="1:10" ht="27.4"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346</v>
      </c>
      <c r="H44" s="270"/>
      <c r="J44" s="254">
        <v>22</v>
      </c>
    </row>
    <row r="45" spans="1:10" ht="23.25" customHeight="1">
      <c r="A45" s="10"/>
      <c r="B45" s="289"/>
      <c r="C45" s="10"/>
      <c r="D45" s="247">
        <f>D44+1</f>
        <v>11</v>
      </c>
      <c r="E45" s="245" t="s">
        <v>347</v>
      </c>
      <c r="F45" s="39" t="s">
        <v>312</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348</v>
      </c>
      <c r="H46" s="270"/>
      <c r="J46" s="254">
        <v>23</v>
      </c>
    </row>
    <row r="47" spans="1:10" ht="24" customHeight="1">
      <c r="A47" s="1247"/>
      <c r="B47" s="289"/>
      <c r="C47" s="282"/>
      <c r="D47" s="247" t="str">
        <f>D45&amp;".2"</f>
        <v>11.2</v>
      </c>
      <c r="E47" s="249" t="s">
        <v>349</v>
      </c>
      <c r="F47" s="113"/>
      <c r="G47" s="244" t="s">
        <v>350</v>
      </c>
      <c r="H47" s="270"/>
      <c r="J47" s="254">
        <v>23</v>
      </c>
    </row>
    <row r="48" spans="1:10" ht="24" customHeight="1">
      <c r="A48" s="1247"/>
      <c r="B48" s="289"/>
      <c r="C48" s="282"/>
      <c r="D48" s="247" t="str">
        <f>D45&amp;".3"</f>
        <v>11.3</v>
      </c>
      <c r="E48" s="249" t="s">
        <v>351</v>
      </c>
      <c r="F48" s="113"/>
      <c r="G48" s="244" t="s">
        <v>352</v>
      </c>
      <c r="H48" s="270"/>
      <c r="J48" s="254">
        <v>23</v>
      </c>
    </row>
    <row r="49" spans="1:10" ht="24" customHeight="1">
      <c r="A49" s="1247"/>
      <c r="B49" s="289"/>
      <c r="C49" s="282"/>
      <c r="D49" s="247" t="str">
        <f>IF(TEMPLATE_SPHERE="TKO",D45&amp;".0",D45&amp;".4")</f>
        <v>11.4</v>
      </c>
      <c r="E49" s="243" t="s">
        <v>353</v>
      </c>
      <c r="F49" s="906"/>
      <c r="G49" s="969" t="s">
        <v>354</v>
      </c>
      <c r="H49" s="270"/>
      <c r="J49" s="254">
        <v>23</v>
      </c>
    </row>
    <row r="50" spans="1:10" ht="24" customHeight="1">
      <c r="A50" s="10"/>
      <c r="B50" s="289"/>
      <c r="C50" s="10"/>
      <c r="D50" s="263"/>
      <c r="E50" s="110" t="s">
        <v>355</v>
      </c>
      <c r="F50" s="264"/>
      <c r="G50" s="969" t="s">
        <v>356</v>
      </c>
      <c r="H50" s="271"/>
      <c r="J50" s="254">
        <v>23</v>
      </c>
    </row>
    <row r="51" spans="1:10" ht="24" customHeight="1">
      <c r="A51" s="495"/>
      <c r="B51" s="289"/>
      <c r="C51" s="282"/>
      <c r="D51" s="247">
        <f>D45+1</f>
        <v>12</v>
      </c>
      <c r="E51" s="299" t="s">
        <v>357</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45" customHeight="1">
      <c r="A52" s="10"/>
      <c r="B52" s="289"/>
      <c r="C52" s="10"/>
      <c r="J52" s="254">
        <v>11</v>
      </c>
    </row>
    <row r="53" spans="1:10" s="258" customFormat="1" ht="31.5" customHeight="1">
      <c r="A53" s="4"/>
      <c r="B53" s="68"/>
      <c r="C53" s="1248"/>
      <c r="D53" s="12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51"/>
      <c r="F53" s="1251"/>
      <c r="G53" s="1251"/>
      <c r="H53" s="92"/>
      <c r="I53" s="92"/>
      <c r="J53" s="258">
        <v>30</v>
      </c>
    </row>
    <row r="54" spans="1:10" s="258" customFormat="1" ht="42" customHeight="1">
      <c r="A54" s="10"/>
      <c r="B54" s="289"/>
      <c r="C54" s="1248"/>
      <c r="D54" s="125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51"/>
      <c r="F54" s="1251"/>
      <c r="G54" s="1251"/>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109" t="s">
        <v>2360</v>
      </c>
      <c r="B1" s="1110" t="s">
        <v>2361</v>
      </c>
      <c r="C1" s="1594" t="s">
        <v>2362</v>
      </c>
      <c r="D1" s="1595"/>
      <c r="E1" s="436" t="s">
        <v>2363</v>
      </c>
    </row>
    <row r="2" spans="1:5" ht="11.25" customHeight="1">
      <c r="A2" s="1111"/>
      <c r="B2" s="439" t="s">
        <v>27</v>
      </c>
      <c r="C2" s="436"/>
      <c r="D2" s="438"/>
      <c r="E2" s="436"/>
    </row>
    <row r="3" spans="1:5" ht="11.25" customHeight="1">
      <c r="A3" s="1112"/>
      <c r="B3" s="1113" t="s">
        <v>33</v>
      </c>
      <c r="C3" s="436"/>
      <c r="D3" s="438"/>
      <c r="E3" s="436"/>
    </row>
    <row r="4" spans="1:5" ht="11.25" customHeight="1">
      <c r="A4" s="1114"/>
      <c r="B4" s="440" t="s">
        <v>1805</v>
      </c>
      <c r="C4" s="436"/>
      <c r="D4" s="438"/>
      <c r="E4" s="436"/>
    </row>
    <row r="5" spans="1:5" ht="11.25" customHeight="1">
      <c r="A5" s="1115"/>
      <c r="B5" s="440" t="s">
        <v>1800</v>
      </c>
      <c r="C5" s="1116" t="s">
        <v>2130</v>
      </c>
      <c r="D5" s="1117" t="s">
        <v>2364</v>
      </c>
      <c r="E5" s="436"/>
    </row>
    <row r="6" spans="1:5" ht="11.25" customHeight="1">
      <c r="A6" s="1118"/>
      <c r="B6" s="440" t="s">
        <v>1809</v>
      </c>
      <c r="C6" s="436"/>
      <c r="D6" s="438"/>
      <c r="E6" s="436"/>
    </row>
    <row r="7" spans="1:5" ht="11.25" customHeight="1">
      <c r="A7" s="1119"/>
      <c r="B7" s="440" t="s">
        <v>1817</v>
      </c>
      <c r="C7" s="436"/>
      <c r="D7" s="438"/>
      <c r="E7" s="436"/>
    </row>
    <row r="8" spans="1:5" ht="11.25" customHeight="1">
      <c r="A8" s="437"/>
      <c r="B8" s="440" t="s">
        <v>1812</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547"/>
  <sheetViews>
    <sheetView showGridLines="0" workbookViewId="0"/>
  </sheetViews>
  <sheetFormatPr defaultColWidth="9.140625" defaultRowHeight="11.25" customHeight="1"/>
  <sheetData>
    <row r="1" spans="1:9" ht="11.25" customHeight="1">
      <c r="A1" t="s">
        <v>2365</v>
      </c>
      <c r="B1" t="s">
        <v>2366</v>
      </c>
      <c r="C1" s="2" t="s">
        <v>2367</v>
      </c>
      <c r="D1" s="2" t="s">
        <v>2368</v>
      </c>
      <c r="E1" s="2" t="s">
        <v>2369</v>
      </c>
      <c r="F1" s="2" t="s">
        <v>2370</v>
      </c>
      <c r="G1" s="2" t="s">
        <v>2371</v>
      </c>
      <c r="H1" s="2" t="s">
        <v>2372</v>
      </c>
      <c r="I1" s="2" t="s">
        <v>2373</v>
      </c>
    </row>
    <row r="2" spans="1:9" ht="11.25" customHeight="1">
      <c r="A2" t="s">
        <v>2374</v>
      </c>
      <c r="B2" t="s">
        <v>16</v>
      </c>
      <c r="C2" s="2" t="s">
        <v>2375</v>
      </c>
      <c r="D2" s="2" t="s">
        <v>2376</v>
      </c>
      <c r="E2" s="2" t="s">
        <v>2377</v>
      </c>
      <c r="F2" s="2" t="s">
        <v>2378</v>
      </c>
      <c r="G2" s="2" t="s">
        <v>22</v>
      </c>
      <c r="H2" s="2" t="s">
        <v>22</v>
      </c>
      <c r="I2" s="2" t="s">
        <v>842</v>
      </c>
    </row>
    <row r="3" spans="1:9" ht="11.25" customHeight="1">
      <c r="A3" t="s">
        <v>2374</v>
      </c>
      <c r="B3" t="s">
        <v>16</v>
      </c>
      <c r="C3" t="s">
        <v>2379</v>
      </c>
      <c r="D3" t="s">
        <v>2380</v>
      </c>
      <c r="E3" t="s">
        <v>2381</v>
      </c>
      <c r="F3" t="s">
        <v>2382</v>
      </c>
      <c r="G3" t="s">
        <v>22</v>
      </c>
      <c r="H3" t="s">
        <v>22</v>
      </c>
      <c r="I3" t="s">
        <v>842</v>
      </c>
    </row>
    <row r="4" spans="1:9" ht="11.25" customHeight="1">
      <c r="A4" t="s">
        <v>2374</v>
      </c>
      <c r="B4" t="s">
        <v>16</v>
      </c>
      <c r="C4" t="s">
        <v>2383</v>
      </c>
      <c r="D4" t="s">
        <v>2384</v>
      </c>
      <c r="E4" t="s">
        <v>2385</v>
      </c>
      <c r="F4" t="s">
        <v>2386</v>
      </c>
      <c r="G4" t="s">
        <v>22</v>
      </c>
      <c r="H4" t="s">
        <v>22</v>
      </c>
      <c r="I4" t="s">
        <v>842</v>
      </c>
    </row>
    <row r="5" spans="1:9" ht="11.25" customHeight="1">
      <c r="A5" t="s">
        <v>2374</v>
      </c>
      <c r="B5" t="s">
        <v>16</v>
      </c>
      <c r="C5" t="s">
        <v>2387</v>
      </c>
      <c r="D5" t="s">
        <v>2388</v>
      </c>
      <c r="E5" t="s">
        <v>2377</v>
      </c>
      <c r="F5" t="s">
        <v>2382</v>
      </c>
      <c r="G5" t="s">
        <v>22</v>
      </c>
      <c r="H5" t="s">
        <v>22</v>
      </c>
      <c r="I5" t="s">
        <v>842</v>
      </c>
    </row>
    <row r="6" spans="1:9" ht="11.25" customHeight="1">
      <c r="A6" t="s">
        <v>2374</v>
      </c>
      <c r="B6" t="s">
        <v>16</v>
      </c>
      <c r="C6" t="s">
        <v>2389</v>
      </c>
      <c r="D6" t="s">
        <v>2390</v>
      </c>
      <c r="E6" t="s">
        <v>2391</v>
      </c>
      <c r="F6" t="s">
        <v>2392</v>
      </c>
      <c r="G6" t="s">
        <v>2393</v>
      </c>
      <c r="H6" t="s">
        <v>22</v>
      </c>
      <c r="I6" t="s">
        <v>842</v>
      </c>
    </row>
    <row r="7" spans="1:9" ht="11.25" customHeight="1">
      <c r="A7" t="s">
        <v>2374</v>
      </c>
      <c r="B7" t="s">
        <v>16</v>
      </c>
      <c r="C7" t="s">
        <v>2394</v>
      </c>
      <c r="D7" t="s">
        <v>2395</v>
      </c>
      <c r="E7" t="s">
        <v>2396</v>
      </c>
      <c r="F7" t="s">
        <v>2397</v>
      </c>
      <c r="G7" t="s">
        <v>2398</v>
      </c>
      <c r="H7" t="s">
        <v>22</v>
      </c>
      <c r="I7" t="s">
        <v>842</v>
      </c>
    </row>
    <row r="8" spans="1:9" ht="11.25" customHeight="1">
      <c r="A8" t="s">
        <v>2374</v>
      </c>
      <c r="B8" t="s">
        <v>16</v>
      </c>
      <c r="C8" t="s">
        <v>2399</v>
      </c>
      <c r="D8" t="s">
        <v>2400</v>
      </c>
      <c r="E8" t="s">
        <v>2401</v>
      </c>
      <c r="F8" t="s">
        <v>2402</v>
      </c>
      <c r="G8" t="s">
        <v>22</v>
      </c>
      <c r="H8" t="s">
        <v>22</v>
      </c>
      <c r="I8" t="s">
        <v>842</v>
      </c>
    </row>
    <row r="9" spans="1:9" ht="11.25" customHeight="1">
      <c r="A9" t="s">
        <v>2374</v>
      </c>
      <c r="B9" t="s">
        <v>16</v>
      </c>
      <c r="C9" t="s">
        <v>2403</v>
      </c>
      <c r="D9" t="s">
        <v>2404</v>
      </c>
      <c r="E9" t="s">
        <v>2405</v>
      </c>
      <c r="F9" t="s">
        <v>2406</v>
      </c>
      <c r="G9" t="s">
        <v>22</v>
      </c>
      <c r="H9" t="s">
        <v>22</v>
      </c>
      <c r="I9" t="s">
        <v>842</v>
      </c>
    </row>
    <row r="10" spans="1:9" ht="11.25" customHeight="1">
      <c r="A10" t="s">
        <v>2374</v>
      </c>
      <c r="B10" t="s">
        <v>16</v>
      </c>
      <c r="C10" t="s">
        <v>2407</v>
      </c>
      <c r="D10" t="s">
        <v>2408</v>
      </c>
      <c r="E10" t="s">
        <v>2409</v>
      </c>
      <c r="F10" t="s">
        <v>2410</v>
      </c>
      <c r="G10" t="s">
        <v>2411</v>
      </c>
      <c r="H10" t="s">
        <v>22</v>
      </c>
      <c r="I10" t="s">
        <v>842</v>
      </c>
    </row>
    <row r="11" spans="1:9" ht="11.25" customHeight="1">
      <c r="A11" t="s">
        <v>2374</v>
      </c>
      <c r="B11" t="s">
        <v>16</v>
      </c>
      <c r="C11" t="s">
        <v>2412</v>
      </c>
      <c r="D11" t="s">
        <v>2413</v>
      </c>
      <c r="E11" t="s">
        <v>2414</v>
      </c>
      <c r="F11" t="s">
        <v>51</v>
      </c>
      <c r="G11" t="s">
        <v>22</v>
      </c>
      <c r="H11" t="s">
        <v>22</v>
      </c>
      <c r="I11" t="s">
        <v>842</v>
      </c>
    </row>
    <row r="12" spans="1:9" ht="11.25" customHeight="1">
      <c r="A12" t="s">
        <v>2374</v>
      </c>
      <c r="B12" t="s">
        <v>16</v>
      </c>
      <c r="C12" t="s">
        <v>2415</v>
      </c>
      <c r="D12" t="s">
        <v>2416</v>
      </c>
      <c r="E12" t="s">
        <v>2417</v>
      </c>
      <c r="F12" t="s">
        <v>2418</v>
      </c>
      <c r="G12" t="s">
        <v>22</v>
      </c>
      <c r="H12" t="s">
        <v>22</v>
      </c>
      <c r="I12" t="s">
        <v>842</v>
      </c>
    </row>
    <row r="13" spans="1:9" ht="11.25" customHeight="1">
      <c r="A13" t="s">
        <v>2374</v>
      </c>
      <c r="B13" t="s">
        <v>16</v>
      </c>
      <c r="C13" t="s">
        <v>2419</v>
      </c>
      <c r="D13" t="s">
        <v>2416</v>
      </c>
      <c r="E13" t="s">
        <v>2417</v>
      </c>
      <c r="F13" t="s">
        <v>2420</v>
      </c>
      <c r="G13" t="s">
        <v>22</v>
      </c>
      <c r="H13" t="s">
        <v>22</v>
      </c>
      <c r="I13" t="s">
        <v>842</v>
      </c>
    </row>
    <row r="14" spans="1:9" ht="11.25" customHeight="1">
      <c r="A14" t="s">
        <v>2374</v>
      </c>
      <c r="B14" t="s">
        <v>16</v>
      </c>
      <c r="C14" t="s">
        <v>2421</v>
      </c>
      <c r="D14" t="s">
        <v>2422</v>
      </c>
      <c r="E14" t="s">
        <v>2423</v>
      </c>
      <c r="F14" t="s">
        <v>2424</v>
      </c>
      <c r="G14" t="s">
        <v>2425</v>
      </c>
      <c r="H14" t="s">
        <v>22</v>
      </c>
      <c r="I14" t="s">
        <v>842</v>
      </c>
    </row>
    <row r="15" spans="1:9" ht="11.25" customHeight="1">
      <c r="A15" t="s">
        <v>2374</v>
      </c>
      <c r="B15" t="s">
        <v>16</v>
      </c>
      <c r="C15" t="s">
        <v>2426</v>
      </c>
      <c r="D15" t="s">
        <v>2427</v>
      </c>
      <c r="E15" t="s">
        <v>2428</v>
      </c>
      <c r="F15" t="s">
        <v>2410</v>
      </c>
      <c r="G15" t="s">
        <v>22</v>
      </c>
      <c r="H15" t="s">
        <v>22</v>
      </c>
      <c r="I15" t="s">
        <v>842</v>
      </c>
    </row>
    <row r="16" spans="1:9" ht="11.25" customHeight="1">
      <c r="A16" t="s">
        <v>2374</v>
      </c>
      <c r="B16" t="s">
        <v>16</v>
      </c>
      <c r="C16" t="s">
        <v>2429</v>
      </c>
      <c r="D16" t="s">
        <v>2430</v>
      </c>
      <c r="E16" t="s">
        <v>2431</v>
      </c>
      <c r="F16" t="s">
        <v>2432</v>
      </c>
      <c r="G16" t="s">
        <v>22</v>
      </c>
      <c r="H16" t="s">
        <v>22</v>
      </c>
      <c r="I16" t="s">
        <v>842</v>
      </c>
    </row>
    <row r="17" spans="1:9" ht="11.25" customHeight="1">
      <c r="A17" t="s">
        <v>2374</v>
      </c>
      <c r="B17" t="s">
        <v>16</v>
      </c>
      <c r="C17" t="s">
        <v>2433</v>
      </c>
      <c r="D17" t="s">
        <v>2434</v>
      </c>
      <c r="E17" t="s">
        <v>2435</v>
      </c>
      <c r="F17" t="s">
        <v>2436</v>
      </c>
      <c r="G17" t="s">
        <v>22</v>
      </c>
      <c r="H17" t="s">
        <v>22</v>
      </c>
      <c r="I17" t="s">
        <v>842</v>
      </c>
    </row>
    <row r="18" spans="1:9" ht="11.25" customHeight="1">
      <c r="A18" t="s">
        <v>2374</v>
      </c>
      <c r="B18" t="s">
        <v>16</v>
      </c>
      <c r="C18" t="s">
        <v>2437</v>
      </c>
      <c r="D18" t="s">
        <v>2438</v>
      </c>
      <c r="E18" t="s">
        <v>2439</v>
      </c>
      <c r="F18" t="s">
        <v>2440</v>
      </c>
      <c r="G18" t="s">
        <v>22</v>
      </c>
      <c r="H18" t="s">
        <v>22</v>
      </c>
      <c r="I18" t="s">
        <v>842</v>
      </c>
    </row>
    <row r="19" spans="1:9" ht="11.25" customHeight="1">
      <c r="A19" t="s">
        <v>2374</v>
      </c>
      <c r="B19" t="s">
        <v>16</v>
      </c>
      <c r="C19" t="s">
        <v>2441</v>
      </c>
      <c r="D19" t="s">
        <v>2442</v>
      </c>
      <c r="E19" t="s">
        <v>2443</v>
      </c>
      <c r="F19" t="s">
        <v>2444</v>
      </c>
      <c r="G19" t="s">
        <v>22</v>
      </c>
      <c r="H19" t="s">
        <v>22</v>
      </c>
      <c r="I19" t="s">
        <v>842</v>
      </c>
    </row>
    <row r="20" spans="1:9" ht="11.25" customHeight="1">
      <c r="A20" t="s">
        <v>2374</v>
      </c>
      <c r="B20" t="s">
        <v>16</v>
      </c>
      <c r="C20" t="s">
        <v>2445</v>
      </c>
      <c r="D20" t="s">
        <v>2446</v>
      </c>
      <c r="E20" t="s">
        <v>2447</v>
      </c>
      <c r="F20" t="s">
        <v>2448</v>
      </c>
      <c r="G20" t="s">
        <v>22</v>
      </c>
      <c r="H20" t="s">
        <v>22</v>
      </c>
      <c r="I20" t="s">
        <v>842</v>
      </c>
    </row>
    <row r="21" spans="1:9" ht="11.25" customHeight="1">
      <c r="A21" t="s">
        <v>2374</v>
      </c>
      <c r="B21" t="s">
        <v>16</v>
      </c>
      <c r="C21" t="s">
        <v>2449</v>
      </c>
      <c r="D21" t="s">
        <v>2450</v>
      </c>
      <c r="E21" t="s">
        <v>2451</v>
      </c>
      <c r="F21" t="s">
        <v>2402</v>
      </c>
      <c r="G21" t="s">
        <v>2452</v>
      </c>
      <c r="H21" t="s">
        <v>22</v>
      </c>
      <c r="I21" t="s">
        <v>842</v>
      </c>
    </row>
    <row r="22" spans="1:9" ht="11.25" customHeight="1">
      <c r="A22" t="s">
        <v>2374</v>
      </c>
      <c r="B22" t="s">
        <v>16</v>
      </c>
      <c r="C22" t="s">
        <v>2453</v>
      </c>
      <c r="D22" t="s">
        <v>2454</v>
      </c>
      <c r="E22" t="s">
        <v>2455</v>
      </c>
      <c r="F22" t="s">
        <v>2456</v>
      </c>
      <c r="G22" t="s">
        <v>2457</v>
      </c>
      <c r="H22" t="s">
        <v>22</v>
      </c>
      <c r="I22" t="s">
        <v>842</v>
      </c>
    </row>
    <row r="23" spans="1:9" ht="11.25" customHeight="1">
      <c r="A23" t="s">
        <v>2374</v>
      </c>
      <c r="B23" t="s">
        <v>16</v>
      </c>
      <c r="C23" t="s">
        <v>2458</v>
      </c>
      <c r="D23" t="s">
        <v>2459</v>
      </c>
      <c r="E23" t="s">
        <v>2460</v>
      </c>
      <c r="F23" t="s">
        <v>2456</v>
      </c>
      <c r="G23" t="s">
        <v>22</v>
      </c>
      <c r="H23" t="s">
        <v>22</v>
      </c>
      <c r="I23" t="s">
        <v>842</v>
      </c>
    </row>
    <row r="24" spans="1:9" ht="11.25" customHeight="1">
      <c r="A24" t="s">
        <v>2374</v>
      </c>
      <c r="B24" t="s">
        <v>16</v>
      </c>
      <c r="C24" t="s">
        <v>2461</v>
      </c>
      <c r="D24" t="s">
        <v>2462</v>
      </c>
      <c r="E24" t="s">
        <v>2463</v>
      </c>
      <c r="F24" t="s">
        <v>51</v>
      </c>
      <c r="G24" t="s">
        <v>2464</v>
      </c>
      <c r="H24" t="s">
        <v>22</v>
      </c>
      <c r="I24" t="s">
        <v>842</v>
      </c>
    </row>
    <row r="25" spans="1:9" ht="11.25" customHeight="1">
      <c r="A25" t="s">
        <v>2374</v>
      </c>
      <c r="B25" t="s">
        <v>16</v>
      </c>
      <c r="C25" t="s">
        <v>2465</v>
      </c>
      <c r="D25" t="s">
        <v>2466</v>
      </c>
      <c r="E25" t="s">
        <v>2467</v>
      </c>
      <c r="F25" t="s">
        <v>2468</v>
      </c>
      <c r="G25" t="s">
        <v>22</v>
      </c>
      <c r="H25" t="s">
        <v>22</v>
      </c>
      <c r="I25" t="s">
        <v>842</v>
      </c>
    </row>
    <row r="26" spans="1:9" ht="11.25" customHeight="1">
      <c r="A26" t="s">
        <v>2374</v>
      </c>
      <c r="B26" t="s">
        <v>16</v>
      </c>
      <c r="C26" t="s">
        <v>2469</v>
      </c>
      <c r="D26" t="s">
        <v>2470</v>
      </c>
      <c r="E26" t="s">
        <v>2471</v>
      </c>
      <c r="F26" t="s">
        <v>2456</v>
      </c>
      <c r="G26" t="s">
        <v>2472</v>
      </c>
      <c r="H26" t="s">
        <v>22</v>
      </c>
      <c r="I26" t="s">
        <v>842</v>
      </c>
    </row>
    <row r="27" spans="1:9" ht="11.25" customHeight="1">
      <c r="A27" t="s">
        <v>2374</v>
      </c>
      <c r="B27" t="s">
        <v>16</v>
      </c>
      <c r="C27" t="s">
        <v>2473</v>
      </c>
      <c r="D27" t="s">
        <v>2474</v>
      </c>
      <c r="E27" t="s">
        <v>2475</v>
      </c>
      <c r="F27" t="s">
        <v>2456</v>
      </c>
      <c r="G27" t="s">
        <v>22</v>
      </c>
      <c r="H27" t="s">
        <v>22</v>
      </c>
      <c r="I27" t="s">
        <v>842</v>
      </c>
    </row>
    <row r="28" spans="1:9" ht="11.25" customHeight="1">
      <c r="A28" t="s">
        <v>2374</v>
      </c>
      <c r="B28" t="s">
        <v>16</v>
      </c>
      <c r="C28" t="s">
        <v>2476</v>
      </c>
      <c r="D28" t="s">
        <v>2477</v>
      </c>
      <c r="E28" t="s">
        <v>2478</v>
      </c>
      <c r="F28" t="s">
        <v>2479</v>
      </c>
      <c r="G28" t="s">
        <v>2480</v>
      </c>
      <c r="H28" t="s">
        <v>22</v>
      </c>
      <c r="I28" t="s">
        <v>842</v>
      </c>
    </row>
    <row r="29" spans="1:9" ht="11.25" customHeight="1">
      <c r="A29" t="s">
        <v>2374</v>
      </c>
      <c r="B29" t="s">
        <v>16</v>
      </c>
      <c r="C29" t="s">
        <v>2481</v>
      </c>
      <c r="D29" t="s">
        <v>2482</v>
      </c>
      <c r="E29" t="s">
        <v>2483</v>
      </c>
      <c r="F29" t="s">
        <v>2484</v>
      </c>
      <c r="G29" t="s">
        <v>2485</v>
      </c>
      <c r="H29" t="s">
        <v>22</v>
      </c>
      <c r="I29" t="s">
        <v>842</v>
      </c>
    </row>
    <row r="30" spans="1:9" ht="11.25" customHeight="1">
      <c r="A30" t="s">
        <v>2374</v>
      </c>
      <c r="B30" t="s">
        <v>16</v>
      </c>
      <c r="C30" t="s">
        <v>2486</v>
      </c>
      <c r="D30" t="s">
        <v>2487</v>
      </c>
      <c r="E30" t="s">
        <v>2488</v>
      </c>
      <c r="F30" t="s">
        <v>2456</v>
      </c>
      <c r="G30" t="s">
        <v>22</v>
      </c>
      <c r="H30" t="s">
        <v>22</v>
      </c>
      <c r="I30" t="s">
        <v>842</v>
      </c>
    </row>
    <row r="31" spans="1:9" ht="11.25" customHeight="1">
      <c r="A31" t="s">
        <v>2374</v>
      </c>
      <c r="B31" t="s">
        <v>16</v>
      </c>
      <c r="C31" t="s">
        <v>2489</v>
      </c>
      <c r="D31" t="s">
        <v>2490</v>
      </c>
      <c r="E31" t="s">
        <v>2491</v>
      </c>
      <c r="F31" t="s">
        <v>2492</v>
      </c>
      <c r="G31" t="s">
        <v>22</v>
      </c>
      <c r="H31" t="s">
        <v>22</v>
      </c>
      <c r="I31" t="s">
        <v>842</v>
      </c>
    </row>
    <row r="32" spans="1:9" ht="11.25" customHeight="1">
      <c r="A32" t="s">
        <v>2374</v>
      </c>
      <c r="B32" t="s">
        <v>16</v>
      </c>
      <c r="C32" t="s">
        <v>2493</v>
      </c>
      <c r="D32" t="s">
        <v>2494</v>
      </c>
      <c r="E32" t="s">
        <v>2495</v>
      </c>
      <c r="F32" t="s">
        <v>2496</v>
      </c>
      <c r="G32" t="s">
        <v>22</v>
      </c>
      <c r="H32" t="s">
        <v>22</v>
      </c>
      <c r="I32" t="s">
        <v>842</v>
      </c>
    </row>
    <row r="33" spans="1:9" ht="11.25" customHeight="1">
      <c r="A33" t="s">
        <v>2374</v>
      </c>
      <c r="B33" t="s">
        <v>16</v>
      </c>
      <c r="C33" t="s">
        <v>2497</v>
      </c>
      <c r="D33" t="s">
        <v>2498</v>
      </c>
      <c r="E33" t="s">
        <v>2499</v>
      </c>
      <c r="F33" t="s">
        <v>51</v>
      </c>
      <c r="G33" t="s">
        <v>2500</v>
      </c>
      <c r="H33" t="s">
        <v>22</v>
      </c>
      <c r="I33" t="s">
        <v>842</v>
      </c>
    </row>
    <row r="34" spans="1:9" ht="11.25" customHeight="1">
      <c r="A34" t="s">
        <v>2374</v>
      </c>
      <c r="B34" t="s">
        <v>16</v>
      </c>
      <c r="C34" t="s">
        <v>2501</v>
      </c>
      <c r="D34" t="s">
        <v>2502</v>
      </c>
      <c r="E34" t="s">
        <v>2503</v>
      </c>
      <c r="F34" t="s">
        <v>2504</v>
      </c>
      <c r="G34" t="s">
        <v>2505</v>
      </c>
      <c r="H34" t="s">
        <v>22</v>
      </c>
      <c r="I34" t="s">
        <v>842</v>
      </c>
    </row>
    <row r="35" spans="1:9" ht="11.25" customHeight="1">
      <c r="A35" t="s">
        <v>2374</v>
      </c>
      <c r="B35" t="s">
        <v>16</v>
      </c>
      <c r="C35" t="s">
        <v>2506</v>
      </c>
      <c r="D35" t="s">
        <v>2507</v>
      </c>
      <c r="E35" t="s">
        <v>2508</v>
      </c>
      <c r="F35" t="s">
        <v>51</v>
      </c>
      <c r="G35" t="s">
        <v>2509</v>
      </c>
      <c r="H35" t="s">
        <v>22</v>
      </c>
      <c r="I35" t="s">
        <v>842</v>
      </c>
    </row>
    <row r="36" spans="1:9" ht="11.25" customHeight="1">
      <c r="A36" t="s">
        <v>2374</v>
      </c>
      <c r="B36" t="s">
        <v>16</v>
      </c>
      <c r="C36" t="s">
        <v>2510</v>
      </c>
      <c r="D36" t="s">
        <v>2511</v>
      </c>
      <c r="E36" t="s">
        <v>2512</v>
      </c>
      <c r="F36" t="s">
        <v>2456</v>
      </c>
      <c r="G36" t="s">
        <v>2393</v>
      </c>
      <c r="H36" t="s">
        <v>22</v>
      </c>
      <c r="I36" t="s">
        <v>842</v>
      </c>
    </row>
    <row r="37" spans="1:9" ht="11.25" customHeight="1">
      <c r="A37" t="s">
        <v>2374</v>
      </c>
      <c r="B37" t="s">
        <v>16</v>
      </c>
      <c r="C37" t="s">
        <v>2513</v>
      </c>
      <c r="D37" t="s">
        <v>2514</v>
      </c>
      <c r="E37" t="s">
        <v>2515</v>
      </c>
      <c r="F37" t="s">
        <v>2420</v>
      </c>
      <c r="G37" t="s">
        <v>22</v>
      </c>
      <c r="H37" t="s">
        <v>22</v>
      </c>
      <c r="I37" t="s">
        <v>842</v>
      </c>
    </row>
    <row r="38" spans="1:9" ht="11.25" customHeight="1">
      <c r="A38" t="s">
        <v>2374</v>
      </c>
      <c r="B38" t="s">
        <v>16</v>
      </c>
      <c r="C38" t="s">
        <v>2516</v>
      </c>
      <c r="D38" t="s">
        <v>2517</v>
      </c>
      <c r="E38" t="s">
        <v>2518</v>
      </c>
      <c r="F38" t="s">
        <v>2410</v>
      </c>
      <c r="G38" t="s">
        <v>22</v>
      </c>
      <c r="H38" t="s">
        <v>22</v>
      </c>
      <c r="I38" t="s">
        <v>842</v>
      </c>
    </row>
    <row r="39" spans="1:9" ht="11.25" customHeight="1">
      <c r="A39" t="s">
        <v>2374</v>
      </c>
      <c r="B39" t="s">
        <v>16</v>
      </c>
      <c r="C39" t="s">
        <v>2519</v>
      </c>
      <c r="D39" t="s">
        <v>2520</v>
      </c>
      <c r="E39" t="s">
        <v>2521</v>
      </c>
      <c r="F39" t="s">
        <v>2522</v>
      </c>
      <c r="G39" t="s">
        <v>22</v>
      </c>
      <c r="H39" t="s">
        <v>22</v>
      </c>
      <c r="I39" t="s">
        <v>842</v>
      </c>
    </row>
    <row r="40" spans="1:9" ht="11.25" customHeight="1">
      <c r="A40" t="s">
        <v>2374</v>
      </c>
      <c r="B40" t="s">
        <v>16</v>
      </c>
      <c r="C40" t="s">
        <v>2523</v>
      </c>
      <c r="D40" t="s">
        <v>2524</v>
      </c>
      <c r="E40" t="s">
        <v>2525</v>
      </c>
      <c r="F40" t="s">
        <v>579</v>
      </c>
      <c r="G40" t="s">
        <v>2526</v>
      </c>
      <c r="H40" t="s">
        <v>22</v>
      </c>
      <c r="I40" t="s">
        <v>842</v>
      </c>
    </row>
    <row r="41" spans="1:9" ht="11.25" customHeight="1">
      <c r="A41" t="s">
        <v>2374</v>
      </c>
      <c r="B41" t="s">
        <v>16</v>
      </c>
      <c r="C41" t="s">
        <v>2527</v>
      </c>
      <c r="D41" t="s">
        <v>2528</v>
      </c>
      <c r="E41" t="s">
        <v>2529</v>
      </c>
      <c r="F41" t="s">
        <v>579</v>
      </c>
      <c r="G41" t="s">
        <v>2530</v>
      </c>
      <c r="H41" t="s">
        <v>22</v>
      </c>
      <c r="I41" t="s">
        <v>842</v>
      </c>
    </row>
    <row r="42" spans="1:9" ht="11.25" customHeight="1">
      <c r="A42" t="s">
        <v>2374</v>
      </c>
      <c r="B42" t="s">
        <v>16</v>
      </c>
      <c r="C42" t="s">
        <v>2531</v>
      </c>
      <c r="D42" t="s">
        <v>2532</v>
      </c>
      <c r="E42" t="s">
        <v>2533</v>
      </c>
      <c r="F42" t="s">
        <v>2534</v>
      </c>
      <c r="G42" t="s">
        <v>2535</v>
      </c>
      <c r="H42" t="s">
        <v>22</v>
      </c>
      <c r="I42" t="s">
        <v>842</v>
      </c>
    </row>
    <row r="43" spans="1:9" ht="11.25" customHeight="1">
      <c r="A43" t="s">
        <v>2374</v>
      </c>
      <c r="B43" t="s">
        <v>16</v>
      </c>
      <c r="C43" t="s">
        <v>2536</v>
      </c>
      <c r="D43" t="s">
        <v>2537</v>
      </c>
      <c r="E43" t="s">
        <v>2538</v>
      </c>
      <c r="F43" t="s">
        <v>2539</v>
      </c>
      <c r="G43" t="s">
        <v>22</v>
      </c>
      <c r="H43" t="s">
        <v>22</v>
      </c>
      <c r="I43" t="s">
        <v>842</v>
      </c>
    </row>
    <row r="44" spans="1:9" ht="11.25" customHeight="1">
      <c r="A44" t="s">
        <v>2374</v>
      </c>
      <c r="B44" t="s">
        <v>16</v>
      </c>
      <c r="C44" t="s">
        <v>2540</v>
      </c>
      <c r="D44" t="s">
        <v>2541</v>
      </c>
      <c r="E44" t="s">
        <v>2542</v>
      </c>
      <c r="F44" t="s">
        <v>2534</v>
      </c>
      <c r="G44" t="s">
        <v>2543</v>
      </c>
      <c r="H44" t="s">
        <v>22</v>
      </c>
      <c r="I44" t="s">
        <v>842</v>
      </c>
    </row>
    <row r="45" spans="1:9" ht="11.25" customHeight="1">
      <c r="A45" t="s">
        <v>2374</v>
      </c>
      <c r="B45" t="s">
        <v>16</v>
      </c>
      <c r="C45" t="s">
        <v>2544</v>
      </c>
      <c r="D45" t="s">
        <v>2545</v>
      </c>
      <c r="E45" t="s">
        <v>2546</v>
      </c>
      <c r="F45" t="s">
        <v>2397</v>
      </c>
      <c r="G45" t="s">
        <v>22</v>
      </c>
      <c r="H45" t="s">
        <v>22</v>
      </c>
      <c r="I45" t="s">
        <v>842</v>
      </c>
    </row>
    <row r="46" spans="1:9" ht="11.25" customHeight="1">
      <c r="A46" t="s">
        <v>2374</v>
      </c>
      <c r="B46" t="s">
        <v>16</v>
      </c>
      <c r="C46" t="s">
        <v>2547</v>
      </c>
      <c r="D46" t="s">
        <v>2548</v>
      </c>
      <c r="E46" t="s">
        <v>2549</v>
      </c>
      <c r="F46" t="s">
        <v>2397</v>
      </c>
      <c r="G46" t="s">
        <v>22</v>
      </c>
      <c r="H46" t="s">
        <v>22</v>
      </c>
      <c r="I46" t="s">
        <v>842</v>
      </c>
    </row>
    <row r="47" spans="1:9" ht="11.25" customHeight="1">
      <c r="A47" t="s">
        <v>2374</v>
      </c>
      <c r="B47" t="s">
        <v>16</v>
      </c>
      <c r="C47" t="s">
        <v>2550</v>
      </c>
      <c r="D47" t="s">
        <v>2551</v>
      </c>
      <c r="E47" t="s">
        <v>2552</v>
      </c>
      <c r="F47" t="s">
        <v>2424</v>
      </c>
      <c r="G47" t="s">
        <v>22</v>
      </c>
      <c r="H47" t="s">
        <v>22</v>
      </c>
      <c r="I47" t="s">
        <v>842</v>
      </c>
    </row>
    <row r="48" spans="1:9" ht="11.25" customHeight="1">
      <c r="A48" t="s">
        <v>2374</v>
      </c>
      <c r="B48" t="s">
        <v>16</v>
      </c>
      <c r="C48" t="s">
        <v>2553</v>
      </c>
      <c r="D48" t="s">
        <v>2554</v>
      </c>
      <c r="E48" t="s">
        <v>2555</v>
      </c>
      <c r="F48" t="s">
        <v>2556</v>
      </c>
      <c r="G48" t="s">
        <v>2557</v>
      </c>
      <c r="H48" t="s">
        <v>22</v>
      </c>
      <c r="I48" t="s">
        <v>842</v>
      </c>
    </row>
    <row r="49" spans="1:9" ht="11.25" customHeight="1">
      <c r="A49" t="s">
        <v>2374</v>
      </c>
      <c r="B49" t="s">
        <v>16</v>
      </c>
      <c r="C49" t="s">
        <v>2558</v>
      </c>
      <c r="D49" t="s">
        <v>2559</v>
      </c>
      <c r="E49" t="s">
        <v>2560</v>
      </c>
      <c r="F49" t="s">
        <v>2556</v>
      </c>
      <c r="G49" t="s">
        <v>2561</v>
      </c>
      <c r="H49" t="s">
        <v>22</v>
      </c>
      <c r="I49" t="s">
        <v>842</v>
      </c>
    </row>
    <row r="50" spans="1:9" ht="11.25" customHeight="1">
      <c r="A50" t="s">
        <v>2374</v>
      </c>
      <c r="B50" t="s">
        <v>16</v>
      </c>
      <c r="C50" t="s">
        <v>2562</v>
      </c>
      <c r="D50" t="s">
        <v>2563</v>
      </c>
      <c r="E50" t="s">
        <v>2564</v>
      </c>
      <c r="F50" t="s">
        <v>2456</v>
      </c>
      <c r="G50" t="s">
        <v>22</v>
      </c>
      <c r="H50" t="s">
        <v>22</v>
      </c>
      <c r="I50" t="s">
        <v>842</v>
      </c>
    </row>
    <row r="51" spans="1:9" ht="11.25" customHeight="1">
      <c r="A51" t="s">
        <v>2374</v>
      </c>
      <c r="B51" t="s">
        <v>16</v>
      </c>
      <c r="C51" t="s">
        <v>2565</v>
      </c>
      <c r="D51" t="s">
        <v>2566</v>
      </c>
      <c r="E51" t="s">
        <v>2567</v>
      </c>
      <c r="F51" t="s">
        <v>2432</v>
      </c>
      <c r="G51" t="s">
        <v>22</v>
      </c>
      <c r="H51" t="s">
        <v>22</v>
      </c>
      <c r="I51" t="s">
        <v>842</v>
      </c>
    </row>
    <row r="52" spans="1:9" ht="11.25" customHeight="1">
      <c r="A52" t="s">
        <v>2374</v>
      </c>
      <c r="B52" t="s">
        <v>16</v>
      </c>
      <c r="C52" t="s">
        <v>2568</v>
      </c>
      <c r="D52" t="s">
        <v>2569</v>
      </c>
      <c r="E52" t="s">
        <v>2570</v>
      </c>
      <c r="F52" t="s">
        <v>2424</v>
      </c>
      <c r="G52" t="s">
        <v>2571</v>
      </c>
      <c r="H52" t="s">
        <v>22</v>
      </c>
      <c r="I52" t="s">
        <v>842</v>
      </c>
    </row>
    <row r="53" spans="1:9" ht="11.25" customHeight="1">
      <c r="A53" t="s">
        <v>2374</v>
      </c>
      <c r="B53" t="s">
        <v>16</v>
      </c>
      <c r="C53" t="s">
        <v>2572</v>
      </c>
      <c r="D53" t="s">
        <v>2573</v>
      </c>
      <c r="E53" t="s">
        <v>2574</v>
      </c>
      <c r="F53" t="s">
        <v>2424</v>
      </c>
      <c r="G53" t="s">
        <v>2575</v>
      </c>
      <c r="H53" t="s">
        <v>22</v>
      </c>
      <c r="I53" t="s">
        <v>842</v>
      </c>
    </row>
    <row r="54" spans="1:9" ht="11.25" customHeight="1">
      <c r="A54" t="s">
        <v>2374</v>
      </c>
      <c r="B54" t="s">
        <v>16</v>
      </c>
      <c r="C54" t="s">
        <v>2576</v>
      </c>
      <c r="D54" t="s">
        <v>2577</v>
      </c>
      <c r="E54" t="s">
        <v>2578</v>
      </c>
      <c r="F54" t="s">
        <v>2382</v>
      </c>
      <c r="G54" t="s">
        <v>22</v>
      </c>
      <c r="H54" t="s">
        <v>22</v>
      </c>
      <c r="I54" t="s">
        <v>842</v>
      </c>
    </row>
    <row r="55" spans="1:9" ht="11.25" customHeight="1">
      <c r="A55" t="s">
        <v>2374</v>
      </c>
      <c r="B55" t="s">
        <v>16</v>
      </c>
      <c r="C55" t="s">
        <v>2579</v>
      </c>
      <c r="D55" t="s">
        <v>2580</v>
      </c>
      <c r="E55" t="s">
        <v>2581</v>
      </c>
      <c r="F55" t="s">
        <v>2582</v>
      </c>
      <c r="G55" t="s">
        <v>2583</v>
      </c>
      <c r="H55" t="s">
        <v>22</v>
      </c>
      <c r="I55" t="s">
        <v>842</v>
      </c>
    </row>
    <row r="56" spans="1:9" ht="11.25" customHeight="1">
      <c r="A56" t="s">
        <v>2374</v>
      </c>
      <c r="B56" t="s">
        <v>16</v>
      </c>
      <c r="C56" t="s">
        <v>2584</v>
      </c>
      <c r="D56" t="s">
        <v>2585</v>
      </c>
      <c r="E56" t="s">
        <v>2586</v>
      </c>
      <c r="F56" t="s">
        <v>2410</v>
      </c>
      <c r="G56" t="s">
        <v>2587</v>
      </c>
      <c r="H56" t="s">
        <v>22</v>
      </c>
      <c r="I56" t="s">
        <v>842</v>
      </c>
    </row>
    <row r="57" spans="1:9" ht="11.25" customHeight="1">
      <c r="A57" t="s">
        <v>2374</v>
      </c>
      <c r="B57" t="s">
        <v>16</v>
      </c>
      <c r="C57" t="s">
        <v>2588</v>
      </c>
      <c r="D57" t="s">
        <v>2589</v>
      </c>
      <c r="E57" t="s">
        <v>2590</v>
      </c>
      <c r="F57" t="s">
        <v>2591</v>
      </c>
      <c r="G57" t="s">
        <v>22</v>
      </c>
      <c r="H57" t="s">
        <v>22</v>
      </c>
      <c r="I57" t="s">
        <v>842</v>
      </c>
    </row>
    <row r="58" spans="1:9" ht="11.25" customHeight="1">
      <c r="A58" t="s">
        <v>2374</v>
      </c>
      <c r="B58" t="s">
        <v>16</v>
      </c>
      <c r="C58" t="s">
        <v>2592</v>
      </c>
      <c r="D58" t="s">
        <v>2593</v>
      </c>
      <c r="E58" t="s">
        <v>2594</v>
      </c>
      <c r="F58" t="s">
        <v>2534</v>
      </c>
      <c r="G58" t="s">
        <v>22</v>
      </c>
      <c r="H58" t="s">
        <v>22</v>
      </c>
      <c r="I58" t="s">
        <v>842</v>
      </c>
    </row>
    <row r="59" spans="1:9" ht="11.25" customHeight="1">
      <c r="A59" t="s">
        <v>2374</v>
      </c>
      <c r="B59" t="s">
        <v>16</v>
      </c>
      <c r="C59" t="s">
        <v>2595</v>
      </c>
      <c r="D59" t="s">
        <v>2596</v>
      </c>
      <c r="E59" t="s">
        <v>2597</v>
      </c>
      <c r="F59" t="s">
        <v>2598</v>
      </c>
      <c r="G59" t="s">
        <v>22</v>
      </c>
      <c r="H59" t="s">
        <v>22</v>
      </c>
      <c r="I59" t="s">
        <v>842</v>
      </c>
    </row>
    <row r="60" spans="1:9" ht="11.25" customHeight="1">
      <c r="A60" t="s">
        <v>2374</v>
      </c>
      <c r="B60" t="s">
        <v>16</v>
      </c>
      <c r="C60" t="s">
        <v>2599</v>
      </c>
      <c r="D60" t="s">
        <v>2600</v>
      </c>
      <c r="E60" t="s">
        <v>2601</v>
      </c>
      <c r="F60" t="s">
        <v>2534</v>
      </c>
      <c r="G60" t="s">
        <v>22</v>
      </c>
      <c r="H60" t="s">
        <v>22</v>
      </c>
      <c r="I60" t="s">
        <v>842</v>
      </c>
    </row>
    <row r="61" spans="1:9" ht="11.25" customHeight="1">
      <c r="A61" t="s">
        <v>2374</v>
      </c>
      <c r="B61" t="s">
        <v>16</v>
      </c>
      <c r="C61" t="s">
        <v>2602</v>
      </c>
      <c r="D61" t="s">
        <v>2603</v>
      </c>
      <c r="E61" t="s">
        <v>2604</v>
      </c>
      <c r="F61" t="s">
        <v>2605</v>
      </c>
      <c r="G61" t="s">
        <v>22</v>
      </c>
      <c r="H61" t="s">
        <v>22</v>
      </c>
      <c r="I61" t="s">
        <v>842</v>
      </c>
    </row>
    <row r="62" spans="1:9" ht="11.25" customHeight="1">
      <c r="A62" t="s">
        <v>2374</v>
      </c>
      <c r="B62" t="s">
        <v>16</v>
      </c>
      <c r="C62" t="s">
        <v>2606</v>
      </c>
      <c r="D62" t="s">
        <v>2607</v>
      </c>
      <c r="E62" t="s">
        <v>2608</v>
      </c>
      <c r="F62" t="s">
        <v>2382</v>
      </c>
      <c r="G62" t="s">
        <v>2609</v>
      </c>
      <c r="H62" t="s">
        <v>22</v>
      </c>
      <c r="I62" t="s">
        <v>842</v>
      </c>
    </row>
    <row r="63" spans="1:9" ht="11.25" customHeight="1">
      <c r="A63" t="s">
        <v>2374</v>
      </c>
      <c r="B63" t="s">
        <v>16</v>
      </c>
      <c r="C63" t="s">
        <v>2610</v>
      </c>
      <c r="D63" t="s">
        <v>2611</v>
      </c>
      <c r="E63" t="s">
        <v>2612</v>
      </c>
      <c r="F63" t="s">
        <v>2382</v>
      </c>
      <c r="G63" t="s">
        <v>22</v>
      </c>
      <c r="H63" t="s">
        <v>22</v>
      </c>
      <c r="I63" t="s">
        <v>842</v>
      </c>
    </row>
    <row r="64" spans="1:9" ht="11.25" customHeight="1">
      <c r="A64" t="s">
        <v>2374</v>
      </c>
      <c r="B64" t="s">
        <v>16</v>
      </c>
      <c r="C64" t="s">
        <v>2613</v>
      </c>
      <c r="D64" t="s">
        <v>2614</v>
      </c>
      <c r="E64" t="s">
        <v>2615</v>
      </c>
      <c r="F64" t="s">
        <v>2616</v>
      </c>
      <c r="G64" t="s">
        <v>22</v>
      </c>
      <c r="H64" t="s">
        <v>22</v>
      </c>
      <c r="I64" t="s">
        <v>842</v>
      </c>
    </row>
    <row r="65" spans="1:9" ht="11.25" customHeight="1">
      <c r="A65" t="s">
        <v>2374</v>
      </c>
      <c r="B65" t="s">
        <v>16</v>
      </c>
      <c r="C65" t="s">
        <v>2617</v>
      </c>
      <c r="D65" t="s">
        <v>2618</v>
      </c>
      <c r="E65" t="s">
        <v>2619</v>
      </c>
      <c r="F65" t="s">
        <v>2382</v>
      </c>
      <c r="G65" t="s">
        <v>2620</v>
      </c>
      <c r="H65" t="s">
        <v>22</v>
      </c>
      <c r="I65" t="s">
        <v>842</v>
      </c>
    </row>
    <row r="66" spans="1:9" ht="11.25" customHeight="1">
      <c r="A66" t="s">
        <v>2374</v>
      </c>
      <c r="B66" t="s">
        <v>16</v>
      </c>
      <c r="C66" t="s">
        <v>2621</v>
      </c>
      <c r="D66" t="s">
        <v>2622</v>
      </c>
      <c r="E66" t="s">
        <v>2623</v>
      </c>
      <c r="F66" t="s">
        <v>2382</v>
      </c>
      <c r="G66" t="s">
        <v>2624</v>
      </c>
      <c r="H66" t="s">
        <v>22</v>
      </c>
      <c r="I66" t="s">
        <v>842</v>
      </c>
    </row>
    <row r="67" spans="1:9" ht="11.25" customHeight="1">
      <c r="A67" t="s">
        <v>2374</v>
      </c>
      <c r="B67" t="s">
        <v>16</v>
      </c>
      <c r="C67" t="s">
        <v>2625</v>
      </c>
      <c r="D67" t="s">
        <v>2626</v>
      </c>
      <c r="E67" t="s">
        <v>2627</v>
      </c>
      <c r="F67" t="s">
        <v>2382</v>
      </c>
      <c r="G67" t="s">
        <v>2620</v>
      </c>
      <c r="H67" t="s">
        <v>22</v>
      </c>
      <c r="I67" t="s">
        <v>842</v>
      </c>
    </row>
    <row r="68" spans="1:9" ht="11.25" customHeight="1">
      <c r="A68" t="s">
        <v>2374</v>
      </c>
      <c r="B68" t="s">
        <v>16</v>
      </c>
      <c r="C68" t="s">
        <v>2628</v>
      </c>
      <c r="D68" t="s">
        <v>2629</v>
      </c>
      <c r="E68" t="s">
        <v>2630</v>
      </c>
      <c r="F68" t="s">
        <v>2432</v>
      </c>
      <c r="G68" t="s">
        <v>2631</v>
      </c>
      <c r="H68" t="s">
        <v>22</v>
      </c>
      <c r="I68" t="s">
        <v>842</v>
      </c>
    </row>
    <row r="69" spans="1:9" ht="11.25" customHeight="1">
      <c r="A69" t="s">
        <v>2374</v>
      </c>
      <c r="B69" t="s">
        <v>16</v>
      </c>
      <c r="C69" t="s">
        <v>2632</v>
      </c>
      <c r="D69" t="s">
        <v>2633</v>
      </c>
      <c r="E69" t="s">
        <v>2634</v>
      </c>
      <c r="F69" t="s">
        <v>2402</v>
      </c>
      <c r="G69" t="s">
        <v>2635</v>
      </c>
      <c r="H69" t="s">
        <v>22</v>
      </c>
      <c r="I69" t="s">
        <v>842</v>
      </c>
    </row>
    <row r="70" spans="1:9" ht="11.25" customHeight="1">
      <c r="A70" t="s">
        <v>2374</v>
      </c>
      <c r="B70" t="s">
        <v>16</v>
      </c>
      <c r="C70" t="s">
        <v>2636</v>
      </c>
      <c r="D70" t="s">
        <v>2637</v>
      </c>
      <c r="E70" t="s">
        <v>2638</v>
      </c>
      <c r="F70" t="s">
        <v>2382</v>
      </c>
      <c r="G70" t="s">
        <v>2639</v>
      </c>
      <c r="H70" t="s">
        <v>22</v>
      </c>
      <c r="I70" t="s">
        <v>842</v>
      </c>
    </row>
    <row r="71" spans="1:9" ht="11.25" customHeight="1">
      <c r="A71" t="s">
        <v>2374</v>
      </c>
      <c r="B71" t="s">
        <v>16</v>
      </c>
      <c r="C71" t="s">
        <v>2640</v>
      </c>
      <c r="D71" t="s">
        <v>2641</v>
      </c>
      <c r="E71" t="s">
        <v>2642</v>
      </c>
      <c r="F71" t="s">
        <v>2598</v>
      </c>
      <c r="G71" t="s">
        <v>22</v>
      </c>
      <c r="H71" t="s">
        <v>22</v>
      </c>
      <c r="I71" t="s">
        <v>842</v>
      </c>
    </row>
    <row r="72" spans="1:9" ht="11.25" customHeight="1">
      <c r="A72" t="s">
        <v>2374</v>
      </c>
      <c r="B72" t="s">
        <v>16</v>
      </c>
      <c r="C72" t="s">
        <v>2643</v>
      </c>
      <c r="D72" t="s">
        <v>2644</v>
      </c>
      <c r="E72" t="s">
        <v>2463</v>
      </c>
      <c r="F72" t="s">
        <v>2645</v>
      </c>
      <c r="G72" t="s">
        <v>22</v>
      </c>
      <c r="H72" t="s">
        <v>22</v>
      </c>
      <c r="I72" t="s">
        <v>842</v>
      </c>
    </row>
    <row r="73" spans="1:9" ht="11.25" customHeight="1">
      <c r="A73" t="s">
        <v>2374</v>
      </c>
      <c r="B73" t="s">
        <v>16</v>
      </c>
      <c r="C73" t="s">
        <v>2646</v>
      </c>
      <c r="D73" t="s">
        <v>2647</v>
      </c>
      <c r="E73" t="s">
        <v>2648</v>
      </c>
      <c r="F73" t="s">
        <v>2382</v>
      </c>
      <c r="G73" t="s">
        <v>22</v>
      </c>
      <c r="H73" t="s">
        <v>22</v>
      </c>
      <c r="I73" t="s">
        <v>842</v>
      </c>
    </row>
    <row r="74" spans="1:9" ht="11.25" customHeight="1">
      <c r="A74" t="s">
        <v>2374</v>
      </c>
      <c r="B74" t="s">
        <v>16</v>
      </c>
      <c r="C74" t="s">
        <v>2649</v>
      </c>
      <c r="D74" t="s">
        <v>2650</v>
      </c>
      <c r="E74" t="s">
        <v>2651</v>
      </c>
      <c r="F74" t="s">
        <v>2456</v>
      </c>
      <c r="G74" t="s">
        <v>2652</v>
      </c>
      <c r="H74" t="s">
        <v>22</v>
      </c>
      <c r="I74" t="s">
        <v>842</v>
      </c>
    </row>
    <row r="75" spans="1:9" ht="11.25" customHeight="1">
      <c r="A75" t="s">
        <v>2374</v>
      </c>
      <c r="B75" t="s">
        <v>16</v>
      </c>
      <c r="C75" t="s">
        <v>2653</v>
      </c>
      <c r="D75" t="s">
        <v>2654</v>
      </c>
      <c r="E75" t="s">
        <v>2655</v>
      </c>
      <c r="F75" t="s">
        <v>2656</v>
      </c>
      <c r="G75" t="s">
        <v>22</v>
      </c>
      <c r="H75" t="s">
        <v>22</v>
      </c>
      <c r="I75" t="s">
        <v>842</v>
      </c>
    </row>
    <row r="76" spans="1:9" ht="11.25" customHeight="1">
      <c r="A76" t="s">
        <v>2374</v>
      </c>
      <c r="B76" t="s">
        <v>16</v>
      </c>
      <c r="C76" t="s">
        <v>2657</v>
      </c>
      <c r="D76" t="s">
        <v>2658</v>
      </c>
      <c r="E76" t="s">
        <v>2659</v>
      </c>
      <c r="F76" t="s">
        <v>2539</v>
      </c>
      <c r="G76" t="s">
        <v>22</v>
      </c>
      <c r="H76" t="s">
        <v>22</v>
      </c>
      <c r="I76" t="s">
        <v>842</v>
      </c>
    </row>
    <row r="77" spans="1:9" ht="11.25" customHeight="1">
      <c r="A77" t="s">
        <v>2374</v>
      </c>
      <c r="B77" t="s">
        <v>16</v>
      </c>
      <c r="C77" t="s">
        <v>2660</v>
      </c>
      <c r="D77" t="s">
        <v>2661</v>
      </c>
      <c r="E77" t="s">
        <v>2662</v>
      </c>
      <c r="F77" t="s">
        <v>51</v>
      </c>
      <c r="G77" t="s">
        <v>22</v>
      </c>
      <c r="H77" t="s">
        <v>22</v>
      </c>
      <c r="I77" t="s">
        <v>842</v>
      </c>
    </row>
    <row r="78" spans="1:9" ht="11.25" customHeight="1">
      <c r="A78" t="s">
        <v>2374</v>
      </c>
      <c r="B78" t="s">
        <v>16</v>
      </c>
      <c r="C78" t="s">
        <v>2663</v>
      </c>
      <c r="D78" t="s">
        <v>2664</v>
      </c>
      <c r="E78" t="s">
        <v>2443</v>
      </c>
      <c r="F78" t="s">
        <v>2665</v>
      </c>
      <c r="G78" t="s">
        <v>22</v>
      </c>
      <c r="H78" t="s">
        <v>22</v>
      </c>
      <c r="I78" t="s">
        <v>842</v>
      </c>
    </row>
    <row r="79" spans="1:9" ht="11.25" customHeight="1">
      <c r="A79" t="s">
        <v>2374</v>
      </c>
      <c r="B79" t="s">
        <v>16</v>
      </c>
      <c r="C79" t="s">
        <v>2666</v>
      </c>
      <c r="D79" t="s">
        <v>2667</v>
      </c>
      <c r="E79" t="s">
        <v>2668</v>
      </c>
      <c r="F79" t="s">
        <v>2424</v>
      </c>
      <c r="G79" t="s">
        <v>22</v>
      </c>
      <c r="H79" t="s">
        <v>2669</v>
      </c>
      <c r="I79" t="s">
        <v>842</v>
      </c>
    </row>
    <row r="80" spans="1:9" ht="11.25" customHeight="1">
      <c r="A80" t="s">
        <v>2374</v>
      </c>
      <c r="B80" t="s">
        <v>16</v>
      </c>
      <c r="C80" t="s">
        <v>2670</v>
      </c>
      <c r="D80" t="s">
        <v>2671</v>
      </c>
      <c r="E80" t="s">
        <v>2672</v>
      </c>
      <c r="F80" t="s">
        <v>2673</v>
      </c>
      <c r="G80" t="s">
        <v>22</v>
      </c>
      <c r="H80" t="s">
        <v>22</v>
      </c>
      <c r="I80" t="s">
        <v>842</v>
      </c>
    </row>
    <row r="81" spans="1:9" ht="11.25" customHeight="1">
      <c r="A81" t="s">
        <v>2374</v>
      </c>
      <c r="B81" t="s">
        <v>16</v>
      </c>
      <c r="C81" t="s">
        <v>2674</v>
      </c>
      <c r="D81" t="s">
        <v>2675</v>
      </c>
      <c r="E81" t="s">
        <v>2676</v>
      </c>
      <c r="F81" t="s">
        <v>2616</v>
      </c>
      <c r="G81" t="s">
        <v>2677</v>
      </c>
      <c r="H81" t="s">
        <v>22</v>
      </c>
      <c r="I81" t="s">
        <v>842</v>
      </c>
    </row>
    <row r="82" spans="1:9" ht="11.25" customHeight="1">
      <c r="A82" t="s">
        <v>2374</v>
      </c>
      <c r="B82" t="s">
        <v>16</v>
      </c>
      <c r="C82" t="s">
        <v>2678</v>
      </c>
      <c r="D82" t="s">
        <v>2679</v>
      </c>
      <c r="E82" t="s">
        <v>2680</v>
      </c>
      <c r="F82" t="s">
        <v>2681</v>
      </c>
      <c r="G82" t="s">
        <v>2682</v>
      </c>
      <c r="H82" t="s">
        <v>22</v>
      </c>
      <c r="I82" t="s">
        <v>842</v>
      </c>
    </row>
    <row r="83" spans="1:9" ht="11.25" customHeight="1">
      <c r="A83" t="s">
        <v>2374</v>
      </c>
      <c r="B83" t="s">
        <v>16</v>
      </c>
      <c r="C83" t="s">
        <v>2683</v>
      </c>
      <c r="D83" t="s">
        <v>2679</v>
      </c>
      <c r="E83" t="s">
        <v>2680</v>
      </c>
      <c r="F83" t="s">
        <v>2684</v>
      </c>
      <c r="G83" t="s">
        <v>22</v>
      </c>
      <c r="H83" t="s">
        <v>22</v>
      </c>
      <c r="I83" t="s">
        <v>842</v>
      </c>
    </row>
    <row r="84" spans="1:9" ht="11.25" customHeight="1">
      <c r="A84" t="s">
        <v>2374</v>
      </c>
      <c r="B84" t="s">
        <v>16</v>
      </c>
      <c r="C84" t="s">
        <v>2685</v>
      </c>
      <c r="D84" t="s">
        <v>2686</v>
      </c>
      <c r="E84" t="s">
        <v>2377</v>
      </c>
      <c r="F84" t="s">
        <v>2687</v>
      </c>
      <c r="G84" t="s">
        <v>22</v>
      </c>
      <c r="H84" t="s">
        <v>22</v>
      </c>
      <c r="I84" t="s">
        <v>842</v>
      </c>
    </row>
    <row r="85" spans="1:9" ht="11.25" customHeight="1">
      <c r="A85" t="s">
        <v>2374</v>
      </c>
      <c r="B85" t="s">
        <v>16</v>
      </c>
      <c r="C85" t="s">
        <v>2688</v>
      </c>
      <c r="D85" t="s">
        <v>2689</v>
      </c>
      <c r="E85" t="s">
        <v>2377</v>
      </c>
      <c r="F85" t="s">
        <v>2690</v>
      </c>
      <c r="G85" t="s">
        <v>22</v>
      </c>
      <c r="H85" t="s">
        <v>22</v>
      </c>
      <c r="I85" t="s">
        <v>842</v>
      </c>
    </row>
    <row r="86" spans="1:9" ht="11.25" customHeight="1">
      <c r="A86" t="s">
        <v>2374</v>
      </c>
      <c r="B86" t="s">
        <v>16</v>
      </c>
      <c r="C86" t="s">
        <v>2691</v>
      </c>
      <c r="D86" t="s">
        <v>2692</v>
      </c>
      <c r="E86" t="s">
        <v>2377</v>
      </c>
      <c r="F86" t="s">
        <v>2693</v>
      </c>
      <c r="G86" t="s">
        <v>22</v>
      </c>
      <c r="H86" t="s">
        <v>22</v>
      </c>
      <c r="I86" t="s">
        <v>842</v>
      </c>
    </row>
    <row r="87" spans="1:9" ht="11.25" customHeight="1">
      <c r="A87" t="s">
        <v>2374</v>
      </c>
      <c r="B87" t="s">
        <v>16</v>
      </c>
      <c r="C87" t="s">
        <v>2694</v>
      </c>
      <c r="D87" t="s">
        <v>2695</v>
      </c>
      <c r="E87" t="s">
        <v>2377</v>
      </c>
      <c r="F87" t="s">
        <v>2696</v>
      </c>
      <c r="G87" t="s">
        <v>22</v>
      </c>
      <c r="H87" t="s">
        <v>22</v>
      </c>
      <c r="I87" t="s">
        <v>842</v>
      </c>
    </row>
    <row r="88" spans="1:9" ht="11.25" customHeight="1">
      <c r="A88" t="s">
        <v>2374</v>
      </c>
      <c r="B88" t="s">
        <v>16</v>
      </c>
      <c r="C88" t="s">
        <v>2697</v>
      </c>
      <c r="D88" t="s">
        <v>2698</v>
      </c>
      <c r="E88" t="s">
        <v>2377</v>
      </c>
      <c r="F88" t="s">
        <v>2699</v>
      </c>
      <c r="G88" t="s">
        <v>22</v>
      </c>
      <c r="H88" t="s">
        <v>22</v>
      </c>
      <c r="I88" t="s">
        <v>842</v>
      </c>
    </row>
    <row r="89" spans="1:9" ht="11.25" customHeight="1">
      <c r="A89" t="s">
        <v>2374</v>
      </c>
      <c r="B89" t="s">
        <v>16</v>
      </c>
      <c r="C89" t="s">
        <v>2700</v>
      </c>
      <c r="D89" t="s">
        <v>2701</v>
      </c>
      <c r="E89" t="s">
        <v>2377</v>
      </c>
      <c r="F89" t="s">
        <v>2702</v>
      </c>
      <c r="G89" t="s">
        <v>22</v>
      </c>
      <c r="H89" t="s">
        <v>22</v>
      </c>
      <c r="I89" t="s">
        <v>842</v>
      </c>
    </row>
    <row r="90" spans="1:9" ht="11.25" customHeight="1">
      <c r="A90" t="s">
        <v>2374</v>
      </c>
      <c r="B90" t="s">
        <v>16</v>
      </c>
      <c r="C90" t="s">
        <v>2703</v>
      </c>
      <c r="D90" t="s">
        <v>2704</v>
      </c>
      <c r="E90" t="s">
        <v>2377</v>
      </c>
      <c r="F90" t="s">
        <v>2705</v>
      </c>
      <c r="G90" t="s">
        <v>22</v>
      </c>
      <c r="H90" t="s">
        <v>22</v>
      </c>
      <c r="I90" t="s">
        <v>842</v>
      </c>
    </row>
    <row r="91" spans="1:9" ht="11.25" customHeight="1">
      <c r="A91" t="s">
        <v>2374</v>
      </c>
      <c r="B91" t="s">
        <v>16</v>
      </c>
      <c r="C91" t="s">
        <v>2706</v>
      </c>
      <c r="D91" t="s">
        <v>2707</v>
      </c>
      <c r="E91" t="s">
        <v>2377</v>
      </c>
      <c r="F91" t="s">
        <v>2708</v>
      </c>
      <c r="G91" t="s">
        <v>22</v>
      </c>
      <c r="H91" t="s">
        <v>22</v>
      </c>
      <c r="I91" t="s">
        <v>842</v>
      </c>
    </row>
    <row r="92" spans="1:9" ht="11.25" customHeight="1">
      <c r="A92" t="s">
        <v>2374</v>
      </c>
      <c r="B92" t="s">
        <v>16</v>
      </c>
      <c r="C92" t="s">
        <v>2709</v>
      </c>
      <c r="D92" t="s">
        <v>2710</v>
      </c>
      <c r="E92" t="s">
        <v>2377</v>
      </c>
      <c r="F92" t="s">
        <v>2711</v>
      </c>
      <c r="G92" t="s">
        <v>22</v>
      </c>
      <c r="H92" t="s">
        <v>22</v>
      </c>
      <c r="I92" t="s">
        <v>842</v>
      </c>
    </row>
    <row r="93" spans="1:9" ht="11.25" customHeight="1">
      <c r="A93" t="s">
        <v>2374</v>
      </c>
      <c r="B93" t="s">
        <v>16</v>
      </c>
      <c r="C93" t="s">
        <v>2712</v>
      </c>
      <c r="D93" t="s">
        <v>2713</v>
      </c>
      <c r="E93" t="s">
        <v>2377</v>
      </c>
      <c r="F93" t="s">
        <v>2714</v>
      </c>
      <c r="G93" t="s">
        <v>22</v>
      </c>
      <c r="H93" t="s">
        <v>22</v>
      </c>
      <c r="I93" t="s">
        <v>842</v>
      </c>
    </row>
    <row r="94" spans="1:9" ht="11.25" customHeight="1">
      <c r="A94" t="s">
        <v>2374</v>
      </c>
      <c r="B94" t="s">
        <v>16</v>
      </c>
      <c r="C94" t="s">
        <v>2715</v>
      </c>
      <c r="D94" t="s">
        <v>2716</v>
      </c>
      <c r="E94" t="s">
        <v>2717</v>
      </c>
      <c r="F94" t="s">
        <v>2718</v>
      </c>
      <c r="G94" t="s">
        <v>22</v>
      </c>
      <c r="H94" t="s">
        <v>22</v>
      </c>
      <c r="I94" t="s">
        <v>842</v>
      </c>
    </row>
    <row r="95" spans="1:9" ht="11.25" customHeight="1">
      <c r="A95" t="s">
        <v>2374</v>
      </c>
      <c r="B95" t="s">
        <v>16</v>
      </c>
      <c r="C95" t="s">
        <v>2719</v>
      </c>
      <c r="D95" t="s">
        <v>2720</v>
      </c>
      <c r="E95" t="s">
        <v>2717</v>
      </c>
      <c r="F95" t="s">
        <v>2721</v>
      </c>
      <c r="G95" t="s">
        <v>22</v>
      </c>
      <c r="H95" t="s">
        <v>22</v>
      </c>
      <c r="I95" t="s">
        <v>842</v>
      </c>
    </row>
    <row r="96" spans="1:9" ht="11.25" customHeight="1">
      <c r="A96" t="s">
        <v>2374</v>
      </c>
      <c r="B96" t="s">
        <v>16</v>
      </c>
      <c r="C96" t="s">
        <v>2722</v>
      </c>
      <c r="D96" t="s">
        <v>2723</v>
      </c>
      <c r="E96" t="s">
        <v>2717</v>
      </c>
      <c r="F96" t="s">
        <v>2724</v>
      </c>
      <c r="G96" t="s">
        <v>22</v>
      </c>
      <c r="H96" t="s">
        <v>22</v>
      </c>
      <c r="I96" t="s">
        <v>842</v>
      </c>
    </row>
    <row r="97" spans="1:9" ht="11.25" customHeight="1">
      <c r="A97" t="s">
        <v>2374</v>
      </c>
      <c r="B97" t="s">
        <v>16</v>
      </c>
      <c r="C97" t="s">
        <v>2725</v>
      </c>
      <c r="D97" t="s">
        <v>2726</v>
      </c>
      <c r="E97" t="s">
        <v>2727</v>
      </c>
      <c r="F97" t="s">
        <v>2728</v>
      </c>
      <c r="G97" t="s">
        <v>2729</v>
      </c>
      <c r="H97" t="s">
        <v>22</v>
      </c>
      <c r="I97" t="s">
        <v>842</v>
      </c>
    </row>
    <row r="98" spans="1:9" ht="11.25" customHeight="1">
      <c r="A98" t="s">
        <v>2374</v>
      </c>
      <c r="B98" t="s">
        <v>16</v>
      </c>
      <c r="C98" t="s">
        <v>2730</v>
      </c>
      <c r="D98" t="s">
        <v>2731</v>
      </c>
      <c r="E98" t="s">
        <v>2732</v>
      </c>
      <c r="F98" t="s">
        <v>2410</v>
      </c>
      <c r="G98" t="s">
        <v>22</v>
      </c>
      <c r="H98" t="s">
        <v>22</v>
      </c>
      <c r="I98" t="s">
        <v>842</v>
      </c>
    </row>
    <row r="99" spans="1:9" ht="11.25" customHeight="1">
      <c r="A99" t="s">
        <v>2374</v>
      </c>
      <c r="B99" t="s">
        <v>16</v>
      </c>
      <c r="C99" t="s">
        <v>2733</v>
      </c>
      <c r="D99" t="s">
        <v>2734</v>
      </c>
      <c r="E99" t="s">
        <v>2735</v>
      </c>
      <c r="F99" t="s">
        <v>2410</v>
      </c>
      <c r="G99" t="s">
        <v>22</v>
      </c>
      <c r="H99" t="s">
        <v>22</v>
      </c>
      <c r="I99" t="s">
        <v>842</v>
      </c>
    </row>
    <row r="100" spans="1:9" ht="11.25" customHeight="1">
      <c r="A100" t="s">
        <v>2374</v>
      </c>
      <c r="B100" t="s">
        <v>16</v>
      </c>
      <c r="C100" t="s">
        <v>2736</v>
      </c>
      <c r="D100" t="s">
        <v>2737</v>
      </c>
      <c r="E100" t="s">
        <v>2738</v>
      </c>
      <c r="F100" t="s">
        <v>2728</v>
      </c>
      <c r="G100" t="s">
        <v>2729</v>
      </c>
      <c r="H100" t="s">
        <v>22</v>
      </c>
      <c r="I100" t="s">
        <v>842</v>
      </c>
    </row>
    <row r="101" spans="1:9" ht="11.25" customHeight="1">
      <c r="A101" t="s">
        <v>2374</v>
      </c>
      <c r="B101" t="s">
        <v>16</v>
      </c>
      <c r="C101" t="s">
        <v>2739</v>
      </c>
      <c r="D101" t="s">
        <v>2740</v>
      </c>
      <c r="E101" t="s">
        <v>2385</v>
      </c>
      <c r="F101" t="s">
        <v>2741</v>
      </c>
      <c r="G101" t="s">
        <v>22</v>
      </c>
      <c r="H101" t="s">
        <v>22</v>
      </c>
      <c r="I101" t="s">
        <v>842</v>
      </c>
    </row>
    <row r="102" spans="1:9" ht="11.25" customHeight="1">
      <c r="A102" t="s">
        <v>2374</v>
      </c>
      <c r="B102" t="s">
        <v>16</v>
      </c>
      <c r="C102" t="s">
        <v>2742</v>
      </c>
      <c r="D102" t="s">
        <v>2743</v>
      </c>
      <c r="E102" t="s">
        <v>2385</v>
      </c>
      <c r="F102" t="s">
        <v>2539</v>
      </c>
      <c r="G102" t="s">
        <v>22</v>
      </c>
      <c r="H102" t="s">
        <v>22</v>
      </c>
      <c r="I102" t="s">
        <v>842</v>
      </c>
    </row>
    <row r="103" spans="1:9" ht="11.25" customHeight="1">
      <c r="A103" t="s">
        <v>2374</v>
      </c>
      <c r="B103" t="s">
        <v>16</v>
      </c>
      <c r="C103" t="s">
        <v>2744</v>
      </c>
      <c r="D103" t="s">
        <v>2745</v>
      </c>
      <c r="E103" t="s">
        <v>2746</v>
      </c>
      <c r="F103" t="s">
        <v>2747</v>
      </c>
      <c r="G103" t="s">
        <v>22</v>
      </c>
      <c r="H103" t="s">
        <v>22</v>
      </c>
      <c r="I103" t="s">
        <v>842</v>
      </c>
    </row>
    <row r="104" spans="1:9" ht="11.25" customHeight="1">
      <c r="A104" t="s">
        <v>2374</v>
      </c>
      <c r="B104" t="s">
        <v>16</v>
      </c>
      <c r="C104" t="s">
        <v>2748</v>
      </c>
      <c r="D104" t="s">
        <v>2745</v>
      </c>
      <c r="E104" t="s">
        <v>2746</v>
      </c>
      <c r="F104" t="s">
        <v>2749</v>
      </c>
      <c r="G104" t="s">
        <v>2750</v>
      </c>
      <c r="H104" t="s">
        <v>22</v>
      </c>
      <c r="I104" t="s">
        <v>842</v>
      </c>
    </row>
    <row r="105" spans="1:9" ht="11.25" customHeight="1">
      <c r="A105" t="s">
        <v>2374</v>
      </c>
      <c r="B105" t="s">
        <v>16</v>
      </c>
      <c r="C105" t="s">
        <v>2751</v>
      </c>
      <c r="D105" t="s">
        <v>2752</v>
      </c>
      <c r="E105" t="s">
        <v>2753</v>
      </c>
      <c r="F105" t="s">
        <v>2410</v>
      </c>
      <c r="G105" t="s">
        <v>2754</v>
      </c>
      <c r="H105" t="s">
        <v>22</v>
      </c>
      <c r="I105" t="s">
        <v>842</v>
      </c>
    </row>
    <row r="106" spans="1:9" ht="11.25" customHeight="1">
      <c r="A106" t="s">
        <v>2374</v>
      </c>
      <c r="B106" t="s">
        <v>16</v>
      </c>
      <c r="C106" t="s">
        <v>2755</v>
      </c>
      <c r="D106" t="s">
        <v>2756</v>
      </c>
      <c r="E106" t="s">
        <v>2757</v>
      </c>
      <c r="F106" t="s">
        <v>2432</v>
      </c>
      <c r="G106" t="s">
        <v>22</v>
      </c>
      <c r="H106" t="s">
        <v>22</v>
      </c>
      <c r="I106" t="s">
        <v>842</v>
      </c>
    </row>
    <row r="107" spans="1:9" ht="11.25" customHeight="1">
      <c r="A107" t="s">
        <v>2374</v>
      </c>
      <c r="B107" t="s">
        <v>16</v>
      </c>
      <c r="C107" t="s">
        <v>2758</v>
      </c>
      <c r="D107" t="s">
        <v>2759</v>
      </c>
      <c r="E107" t="s">
        <v>2760</v>
      </c>
      <c r="F107" t="s">
        <v>2420</v>
      </c>
      <c r="G107" t="s">
        <v>22</v>
      </c>
      <c r="H107" t="s">
        <v>22</v>
      </c>
      <c r="I107" t="s">
        <v>842</v>
      </c>
    </row>
    <row r="108" spans="1:9" ht="11.25" customHeight="1">
      <c r="A108" t="s">
        <v>2374</v>
      </c>
      <c r="B108" t="s">
        <v>16</v>
      </c>
      <c r="C108" t="s">
        <v>2761</v>
      </c>
      <c r="D108" t="s">
        <v>2762</v>
      </c>
      <c r="E108" t="s">
        <v>2763</v>
      </c>
      <c r="F108" t="s">
        <v>2468</v>
      </c>
      <c r="G108" t="s">
        <v>22</v>
      </c>
      <c r="H108" t="s">
        <v>22</v>
      </c>
      <c r="I108" t="s">
        <v>842</v>
      </c>
    </row>
    <row r="109" spans="1:9" ht="11.25" customHeight="1">
      <c r="A109" t="s">
        <v>2374</v>
      </c>
      <c r="B109" t="s">
        <v>16</v>
      </c>
      <c r="C109" t="s">
        <v>2764</v>
      </c>
      <c r="D109" t="s">
        <v>2765</v>
      </c>
      <c r="E109" t="s">
        <v>2766</v>
      </c>
      <c r="F109" t="s">
        <v>2582</v>
      </c>
      <c r="G109" t="s">
        <v>22</v>
      </c>
      <c r="H109" t="s">
        <v>22</v>
      </c>
      <c r="I109" t="s">
        <v>842</v>
      </c>
    </row>
    <row r="110" spans="1:9" ht="11.25" customHeight="1">
      <c r="A110" t="s">
        <v>2374</v>
      </c>
      <c r="B110" t="s">
        <v>16</v>
      </c>
      <c r="C110" t="s">
        <v>2767</v>
      </c>
      <c r="D110" t="s">
        <v>2768</v>
      </c>
      <c r="E110" t="s">
        <v>2769</v>
      </c>
      <c r="F110" t="s">
        <v>2479</v>
      </c>
      <c r="G110" t="s">
        <v>22</v>
      </c>
      <c r="H110" t="s">
        <v>22</v>
      </c>
      <c r="I110" t="s">
        <v>842</v>
      </c>
    </row>
    <row r="111" spans="1:9" ht="11.25" customHeight="1">
      <c r="A111" t="s">
        <v>2374</v>
      </c>
      <c r="B111" t="s">
        <v>16</v>
      </c>
      <c r="C111" t="s">
        <v>2770</v>
      </c>
      <c r="D111" t="s">
        <v>2771</v>
      </c>
      <c r="E111" t="s">
        <v>2772</v>
      </c>
      <c r="F111" t="s">
        <v>2382</v>
      </c>
      <c r="G111" t="s">
        <v>2773</v>
      </c>
      <c r="H111" t="s">
        <v>22</v>
      </c>
      <c r="I111" t="s">
        <v>842</v>
      </c>
    </row>
    <row r="112" spans="1:9" ht="11.25" customHeight="1">
      <c r="A112" t="s">
        <v>2374</v>
      </c>
      <c r="B112" t="s">
        <v>16</v>
      </c>
      <c r="C112" t="s">
        <v>2774</v>
      </c>
      <c r="D112" t="s">
        <v>2775</v>
      </c>
      <c r="E112" t="s">
        <v>2776</v>
      </c>
      <c r="F112" t="s">
        <v>2777</v>
      </c>
      <c r="G112" t="s">
        <v>22</v>
      </c>
      <c r="H112" t="s">
        <v>22</v>
      </c>
      <c r="I112" t="s">
        <v>842</v>
      </c>
    </row>
    <row r="113" spans="1:9" ht="11.25" customHeight="1">
      <c r="A113" t="s">
        <v>2374</v>
      </c>
      <c r="B113" t="s">
        <v>16</v>
      </c>
      <c r="C113" t="s">
        <v>2778</v>
      </c>
      <c r="D113" t="s">
        <v>2779</v>
      </c>
      <c r="E113" t="s">
        <v>2780</v>
      </c>
      <c r="F113" t="s">
        <v>51</v>
      </c>
      <c r="G113" t="s">
        <v>2781</v>
      </c>
      <c r="H113" t="s">
        <v>22</v>
      </c>
      <c r="I113" t="s">
        <v>842</v>
      </c>
    </row>
    <row r="114" spans="1:9" ht="11.25" customHeight="1">
      <c r="A114" t="s">
        <v>2374</v>
      </c>
      <c r="B114" t="s">
        <v>16</v>
      </c>
      <c r="C114" t="s">
        <v>2782</v>
      </c>
      <c r="D114" t="s">
        <v>2783</v>
      </c>
      <c r="E114" t="s">
        <v>2784</v>
      </c>
      <c r="F114" t="s">
        <v>2591</v>
      </c>
      <c r="G114" t="s">
        <v>22</v>
      </c>
      <c r="H114" t="s">
        <v>22</v>
      </c>
      <c r="I114" t="s">
        <v>842</v>
      </c>
    </row>
    <row r="115" spans="1:9" ht="11.25" customHeight="1">
      <c r="A115" t="s">
        <v>2374</v>
      </c>
      <c r="B115" t="s">
        <v>16</v>
      </c>
      <c r="C115" t="s">
        <v>2785</v>
      </c>
      <c r="D115" t="s">
        <v>2786</v>
      </c>
      <c r="E115" t="s">
        <v>2787</v>
      </c>
      <c r="F115" t="s">
        <v>2534</v>
      </c>
      <c r="G115" t="s">
        <v>22</v>
      </c>
      <c r="H115" t="s">
        <v>22</v>
      </c>
      <c r="I115" t="s">
        <v>842</v>
      </c>
    </row>
    <row r="116" spans="1:9" ht="11.25" customHeight="1">
      <c r="A116" t="s">
        <v>2374</v>
      </c>
      <c r="B116" t="s">
        <v>16</v>
      </c>
      <c r="C116" t="s">
        <v>2788</v>
      </c>
      <c r="D116" t="s">
        <v>2789</v>
      </c>
      <c r="E116" t="s">
        <v>2790</v>
      </c>
      <c r="F116" t="s">
        <v>51</v>
      </c>
      <c r="G116" t="s">
        <v>2791</v>
      </c>
      <c r="H116" t="s">
        <v>22</v>
      </c>
      <c r="I116" t="s">
        <v>842</v>
      </c>
    </row>
    <row r="117" spans="1:9" ht="11.25" customHeight="1">
      <c r="A117" t="s">
        <v>2374</v>
      </c>
      <c r="B117" t="s">
        <v>16</v>
      </c>
      <c r="C117" t="s">
        <v>2792</v>
      </c>
      <c r="D117" t="s">
        <v>2793</v>
      </c>
      <c r="E117" t="s">
        <v>2794</v>
      </c>
      <c r="F117" t="s">
        <v>51</v>
      </c>
      <c r="G117" t="s">
        <v>22</v>
      </c>
      <c r="H117" t="s">
        <v>22</v>
      </c>
      <c r="I117" t="s">
        <v>842</v>
      </c>
    </row>
    <row r="118" spans="1:9" ht="11.25" customHeight="1">
      <c r="A118" t="s">
        <v>2374</v>
      </c>
      <c r="B118" t="s">
        <v>16</v>
      </c>
      <c r="C118" t="s">
        <v>2795</v>
      </c>
      <c r="D118" t="s">
        <v>2796</v>
      </c>
      <c r="E118" t="s">
        <v>2797</v>
      </c>
      <c r="F118" t="s">
        <v>2591</v>
      </c>
      <c r="G118" t="s">
        <v>22</v>
      </c>
      <c r="H118" t="s">
        <v>22</v>
      </c>
      <c r="I118" t="s">
        <v>842</v>
      </c>
    </row>
    <row r="119" spans="1:9" ht="11.25" customHeight="1">
      <c r="A119" t="s">
        <v>2374</v>
      </c>
      <c r="B119" t="s">
        <v>16</v>
      </c>
      <c r="C119" t="s">
        <v>2798</v>
      </c>
      <c r="D119" t="s">
        <v>2799</v>
      </c>
      <c r="E119" t="s">
        <v>2800</v>
      </c>
      <c r="F119" t="s">
        <v>2777</v>
      </c>
      <c r="G119" t="s">
        <v>22</v>
      </c>
      <c r="H119" t="s">
        <v>22</v>
      </c>
      <c r="I119" t="s">
        <v>842</v>
      </c>
    </row>
    <row r="120" spans="1:9" ht="11.25" customHeight="1">
      <c r="A120" t="s">
        <v>2374</v>
      </c>
      <c r="B120" t="s">
        <v>16</v>
      </c>
      <c r="C120" t="s">
        <v>2801</v>
      </c>
      <c r="D120" t="s">
        <v>2802</v>
      </c>
      <c r="E120" t="s">
        <v>2803</v>
      </c>
      <c r="F120" t="s">
        <v>51</v>
      </c>
      <c r="G120" t="s">
        <v>22</v>
      </c>
      <c r="H120" t="s">
        <v>2804</v>
      </c>
      <c r="I120" t="s">
        <v>842</v>
      </c>
    </row>
    <row r="121" spans="1:9" ht="11.25" customHeight="1">
      <c r="A121" t="s">
        <v>2374</v>
      </c>
      <c r="B121" t="s">
        <v>16</v>
      </c>
      <c r="C121" t="s">
        <v>2805</v>
      </c>
      <c r="D121" t="s">
        <v>2806</v>
      </c>
      <c r="E121" t="s">
        <v>2807</v>
      </c>
      <c r="F121" t="s">
        <v>2479</v>
      </c>
      <c r="G121" t="s">
        <v>2808</v>
      </c>
      <c r="H121" t="s">
        <v>22</v>
      </c>
      <c r="I121" t="s">
        <v>842</v>
      </c>
    </row>
    <row r="122" spans="1:9" ht="11.25" customHeight="1">
      <c r="A122" t="s">
        <v>2374</v>
      </c>
      <c r="B122" t="s">
        <v>16</v>
      </c>
      <c r="C122" t="s">
        <v>2809</v>
      </c>
      <c r="D122" t="s">
        <v>2810</v>
      </c>
      <c r="E122" t="s">
        <v>2811</v>
      </c>
      <c r="F122" t="s">
        <v>51</v>
      </c>
      <c r="G122" t="s">
        <v>22</v>
      </c>
      <c r="H122" t="s">
        <v>22</v>
      </c>
      <c r="I122" t="s">
        <v>842</v>
      </c>
    </row>
    <row r="123" spans="1:9" ht="11.25" customHeight="1">
      <c r="A123" t="s">
        <v>2374</v>
      </c>
      <c r="B123" t="s">
        <v>16</v>
      </c>
      <c r="C123" t="s">
        <v>2812</v>
      </c>
      <c r="D123" t="s">
        <v>2813</v>
      </c>
      <c r="E123" t="s">
        <v>2814</v>
      </c>
      <c r="F123" t="s">
        <v>2448</v>
      </c>
      <c r="G123" t="s">
        <v>22</v>
      </c>
      <c r="H123" t="s">
        <v>22</v>
      </c>
      <c r="I123" t="s">
        <v>842</v>
      </c>
    </row>
    <row r="124" spans="1:9" ht="11.25" customHeight="1">
      <c r="A124" t="s">
        <v>2374</v>
      </c>
      <c r="B124" t="s">
        <v>16</v>
      </c>
      <c r="C124" t="s">
        <v>2815</v>
      </c>
      <c r="D124" t="s">
        <v>2816</v>
      </c>
      <c r="E124" t="s">
        <v>2817</v>
      </c>
      <c r="F124" t="s">
        <v>2818</v>
      </c>
      <c r="G124" t="s">
        <v>2819</v>
      </c>
      <c r="H124" t="s">
        <v>22</v>
      </c>
      <c r="I124" t="s">
        <v>842</v>
      </c>
    </row>
    <row r="125" spans="1:9" ht="11.25" customHeight="1">
      <c r="A125" t="s">
        <v>2374</v>
      </c>
      <c r="B125" t="s">
        <v>16</v>
      </c>
      <c r="C125" t="s">
        <v>2820</v>
      </c>
      <c r="D125" t="s">
        <v>2821</v>
      </c>
      <c r="E125" t="s">
        <v>2822</v>
      </c>
      <c r="F125" t="s">
        <v>2777</v>
      </c>
      <c r="G125" t="s">
        <v>22</v>
      </c>
      <c r="H125" t="s">
        <v>22</v>
      </c>
      <c r="I125" t="s">
        <v>842</v>
      </c>
    </row>
    <row r="126" spans="1:9" ht="11.25" customHeight="1">
      <c r="A126" t="s">
        <v>2374</v>
      </c>
      <c r="B126" t="s">
        <v>16</v>
      </c>
      <c r="C126" t="s">
        <v>2823</v>
      </c>
      <c r="D126" t="s">
        <v>2824</v>
      </c>
      <c r="E126" t="s">
        <v>2825</v>
      </c>
      <c r="F126" t="s">
        <v>2479</v>
      </c>
      <c r="G126" t="s">
        <v>2826</v>
      </c>
      <c r="H126" t="s">
        <v>22</v>
      </c>
      <c r="I126" t="s">
        <v>842</v>
      </c>
    </row>
    <row r="127" spans="1:9" ht="11.25" customHeight="1">
      <c r="A127" t="s">
        <v>2374</v>
      </c>
      <c r="B127" t="s">
        <v>16</v>
      </c>
      <c r="C127" t="s">
        <v>2827</v>
      </c>
      <c r="D127" t="s">
        <v>2828</v>
      </c>
      <c r="E127" t="s">
        <v>2377</v>
      </c>
      <c r="F127" t="s">
        <v>2605</v>
      </c>
      <c r="G127" t="s">
        <v>2829</v>
      </c>
      <c r="H127" t="s">
        <v>22</v>
      </c>
      <c r="I127" t="s">
        <v>842</v>
      </c>
    </row>
    <row r="128" spans="1:9" ht="11.25" customHeight="1">
      <c r="A128" t="s">
        <v>2374</v>
      </c>
      <c r="B128" t="s">
        <v>16</v>
      </c>
      <c r="C128" t="s">
        <v>2830</v>
      </c>
      <c r="D128" t="s">
        <v>2831</v>
      </c>
      <c r="E128" t="s">
        <v>2377</v>
      </c>
      <c r="F128" t="s">
        <v>2832</v>
      </c>
      <c r="G128" t="s">
        <v>2829</v>
      </c>
      <c r="H128" t="s">
        <v>22</v>
      </c>
      <c r="I128" t="s">
        <v>842</v>
      </c>
    </row>
    <row r="129" spans="1:9" ht="11.25" customHeight="1">
      <c r="A129" t="s">
        <v>2374</v>
      </c>
      <c r="B129" t="s">
        <v>16</v>
      </c>
      <c r="C129" t="s">
        <v>2833</v>
      </c>
      <c r="D129" t="s">
        <v>2834</v>
      </c>
      <c r="E129" t="s">
        <v>2377</v>
      </c>
      <c r="F129" t="s">
        <v>2835</v>
      </c>
      <c r="G129" t="s">
        <v>22</v>
      </c>
      <c r="H129" t="s">
        <v>22</v>
      </c>
      <c r="I129" t="s">
        <v>842</v>
      </c>
    </row>
    <row r="130" spans="1:9" ht="11.25" customHeight="1">
      <c r="A130" t="s">
        <v>2374</v>
      </c>
      <c r="B130" t="s">
        <v>16</v>
      </c>
      <c r="C130" t="s">
        <v>2836</v>
      </c>
      <c r="D130" t="s">
        <v>2837</v>
      </c>
      <c r="E130" t="s">
        <v>2717</v>
      </c>
      <c r="F130" t="s">
        <v>2838</v>
      </c>
      <c r="G130" t="s">
        <v>22</v>
      </c>
      <c r="H130" t="s">
        <v>22</v>
      </c>
      <c r="I130" t="s">
        <v>842</v>
      </c>
    </row>
    <row r="131" spans="1:9" ht="11.25" customHeight="1">
      <c r="A131" t="s">
        <v>2374</v>
      </c>
      <c r="B131" t="s">
        <v>16</v>
      </c>
      <c r="C131" t="s">
        <v>2839</v>
      </c>
      <c r="D131" t="s">
        <v>2840</v>
      </c>
      <c r="E131" t="s">
        <v>2377</v>
      </c>
      <c r="F131" t="s">
        <v>2841</v>
      </c>
      <c r="G131" t="s">
        <v>2829</v>
      </c>
      <c r="H131" t="s">
        <v>22</v>
      </c>
      <c r="I131" t="s">
        <v>842</v>
      </c>
    </row>
    <row r="132" spans="1:9" ht="11.25" customHeight="1">
      <c r="A132" t="s">
        <v>2374</v>
      </c>
      <c r="B132" t="s">
        <v>16</v>
      </c>
      <c r="C132" t="s">
        <v>2842</v>
      </c>
      <c r="D132" t="s">
        <v>2843</v>
      </c>
      <c r="E132" t="s">
        <v>2377</v>
      </c>
      <c r="F132" t="s">
        <v>2844</v>
      </c>
      <c r="G132" t="s">
        <v>2829</v>
      </c>
      <c r="H132" t="s">
        <v>22</v>
      </c>
      <c r="I132" t="s">
        <v>842</v>
      </c>
    </row>
    <row r="133" spans="1:9" ht="11.25" customHeight="1">
      <c r="A133" t="s">
        <v>2374</v>
      </c>
      <c r="B133" t="s">
        <v>16</v>
      </c>
      <c r="C133" t="s">
        <v>2845</v>
      </c>
      <c r="D133" t="s">
        <v>2846</v>
      </c>
      <c r="E133" t="s">
        <v>2847</v>
      </c>
      <c r="F133" t="s">
        <v>2848</v>
      </c>
      <c r="G133" t="s">
        <v>2849</v>
      </c>
      <c r="H133" t="s">
        <v>22</v>
      </c>
      <c r="I133" t="s">
        <v>842</v>
      </c>
    </row>
    <row r="134" spans="1:9" ht="11.25" customHeight="1">
      <c r="A134" t="s">
        <v>2374</v>
      </c>
      <c r="B134" t="s">
        <v>16</v>
      </c>
      <c r="C134" t="s">
        <v>2850</v>
      </c>
      <c r="D134" t="s">
        <v>2851</v>
      </c>
      <c r="E134" t="s">
        <v>2852</v>
      </c>
      <c r="F134" t="s">
        <v>2424</v>
      </c>
      <c r="G134" t="s">
        <v>2853</v>
      </c>
      <c r="H134" t="s">
        <v>22</v>
      </c>
      <c r="I134" t="s">
        <v>842</v>
      </c>
    </row>
    <row r="135" spans="1:9" ht="11.25" customHeight="1">
      <c r="A135" t="s">
        <v>2374</v>
      </c>
      <c r="B135" t="s">
        <v>16</v>
      </c>
      <c r="C135" t="s">
        <v>2854</v>
      </c>
      <c r="D135" t="s">
        <v>2855</v>
      </c>
      <c r="E135" t="s">
        <v>2856</v>
      </c>
      <c r="F135" t="s">
        <v>51</v>
      </c>
      <c r="G135" t="s">
        <v>22</v>
      </c>
      <c r="H135" t="s">
        <v>22</v>
      </c>
      <c r="I135" t="s">
        <v>842</v>
      </c>
    </row>
    <row r="136" spans="1:9" ht="11.25" customHeight="1">
      <c r="A136" t="s">
        <v>2374</v>
      </c>
      <c r="B136" t="s">
        <v>16</v>
      </c>
      <c r="C136" t="s">
        <v>2857</v>
      </c>
      <c r="D136" t="s">
        <v>2858</v>
      </c>
      <c r="E136" t="s">
        <v>2859</v>
      </c>
      <c r="F136" t="s">
        <v>2382</v>
      </c>
      <c r="G136" t="s">
        <v>22</v>
      </c>
      <c r="H136" t="s">
        <v>22</v>
      </c>
      <c r="I136" t="s">
        <v>842</v>
      </c>
    </row>
    <row r="137" spans="1:9" ht="11.25" customHeight="1">
      <c r="A137" t="s">
        <v>2374</v>
      </c>
      <c r="B137" t="s">
        <v>16</v>
      </c>
      <c r="C137" t="s">
        <v>2860</v>
      </c>
      <c r="D137" t="s">
        <v>2861</v>
      </c>
      <c r="E137" t="s">
        <v>2862</v>
      </c>
      <c r="F137" t="s">
        <v>2479</v>
      </c>
      <c r="G137" t="s">
        <v>22</v>
      </c>
      <c r="H137" t="s">
        <v>22</v>
      </c>
      <c r="I137" t="s">
        <v>842</v>
      </c>
    </row>
    <row r="138" spans="1:9" ht="11.25" customHeight="1">
      <c r="A138" t="s">
        <v>2374</v>
      </c>
      <c r="B138" t="s">
        <v>16</v>
      </c>
      <c r="C138" t="s">
        <v>2863</v>
      </c>
      <c r="D138" t="s">
        <v>2864</v>
      </c>
      <c r="E138" t="s">
        <v>2865</v>
      </c>
      <c r="F138" t="s">
        <v>2432</v>
      </c>
      <c r="G138" t="s">
        <v>22</v>
      </c>
      <c r="H138" t="s">
        <v>22</v>
      </c>
      <c r="I138" t="s">
        <v>842</v>
      </c>
    </row>
    <row r="139" spans="1:9" ht="11.25" customHeight="1">
      <c r="A139" t="s">
        <v>2374</v>
      </c>
      <c r="B139" t="s">
        <v>16</v>
      </c>
      <c r="C139" t="s">
        <v>2866</v>
      </c>
      <c r="D139" t="s">
        <v>2867</v>
      </c>
      <c r="E139" t="s">
        <v>2405</v>
      </c>
      <c r="F139" t="s">
        <v>2868</v>
      </c>
      <c r="G139" t="s">
        <v>22</v>
      </c>
      <c r="H139" t="s">
        <v>22</v>
      </c>
      <c r="I139" t="s">
        <v>842</v>
      </c>
    </row>
    <row r="140" spans="1:9" ht="11.25" customHeight="1">
      <c r="A140" t="s">
        <v>2374</v>
      </c>
      <c r="B140" t="s">
        <v>16</v>
      </c>
      <c r="C140" t="s">
        <v>2869</v>
      </c>
      <c r="D140" t="s">
        <v>2870</v>
      </c>
      <c r="E140" t="s">
        <v>2871</v>
      </c>
      <c r="F140" t="s">
        <v>2432</v>
      </c>
      <c r="G140" t="s">
        <v>22</v>
      </c>
      <c r="H140" t="s">
        <v>22</v>
      </c>
      <c r="I140" t="s">
        <v>842</v>
      </c>
    </row>
    <row r="141" spans="1:9" ht="11.25" customHeight="1">
      <c r="A141" t="s">
        <v>2374</v>
      </c>
      <c r="B141" t="s">
        <v>16</v>
      </c>
      <c r="C141" t="s">
        <v>2872</v>
      </c>
      <c r="D141" t="s">
        <v>2873</v>
      </c>
      <c r="E141" t="s">
        <v>2874</v>
      </c>
      <c r="F141" t="s">
        <v>2432</v>
      </c>
      <c r="G141" t="s">
        <v>22</v>
      </c>
      <c r="H141" t="s">
        <v>22</v>
      </c>
      <c r="I141" t="s">
        <v>842</v>
      </c>
    </row>
    <row r="142" spans="1:9" ht="11.25" customHeight="1">
      <c r="A142" t="s">
        <v>2374</v>
      </c>
      <c r="B142" t="s">
        <v>16</v>
      </c>
      <c r="C142" t="s">
        <v>2875</v>
      </c>
      <c r="D142" t="s">
        <v>2876</v>
      </c>
      <c r="E142" t="s">
        <v>2877</v>
      </c>
      <c r="F142" t="s">
        <v>2556</v>
      </c>
      <c r="G142" t="s">
        <v>22</v>
      </c>
      <c r="H142" t="s">
        <v>22</v>
      </c>
      <c r="I142" t="s">
        <v>842</v>
      </c>
    </row>
    <row r="143" spans="1:9" ht="11.25" customHeight="1">
      <c r="A143" t="s">
        <v>2374</v>
      </c>
      <c r="B143" t="s">
        <v>16</v>
      </c>
      <c r="C143" t="s">
        <v>2878</v>
      </c>
      <c r="D143" t="s">
        <v>2879</v>
      </c>
      <c r="E143" t="s">
        <v>2880</v>
      </c>
      <c r="F143" t="s">
        <v>2728</v>
      </c>
      <c r="G143" t="s">
        <v>22</v>
      </c>
      <c r="H143" t="s">
        <v>22</v>
      </c>
      <c r="I143" t="s">
        <v>842</v>
      </c>
    </row>
    <row r="144" spans="1:9" ht="11.25" customHeight="1">
      <c r="A144" t="s">
        <v>2374</v>
      </c>
      <c r="B144" t="s">
        <v>16</v>
      </c>
      <c r="C144" t="s">
        <v>2881</v>
      </c>
      <c r="D144" t="s">
        <v>2882</v>
      </c>
      <c r="E144" t="s">
        <v>2883</v>
      </c>
      <c r="F144" t="s">
        <v>2479</v>
      </c>
      <c r="G144" t="s">
        <v>22</v>
      </c>
      <c r="H144" t="s">
        <v>22</v>
      </c>
      <c r="I144" t="s">
        <v>842</v>
      </c>
    </row>
    <row r="145" spans="1:9" ht="11.25" customHeight="1">
      <c r="A145" t="s">
        <v>2374</v>
      </c>
      <c r="B145" t="s">
        <v>16</v>
      </c>
      <c r="C145" t="s">
        <v>2884</v>
      </c>
      <c r="D145" t="s">
        <v>2885</v>
      </c>
      <c r="E145" t="s">
        <v>2886</v>
      </c>
      <c r="F145" t="s">
        <v>2479</v>
      </c>
      <c r="G145" t="s">
        <v>2887</v>
      </c>
      <c r="H145" t="s">
        <v>22</v>
      </c>
      <c r="I145" t="s">
        <v>842</v>
      </c>
    </row>
    <row r="146" spans="1:9" ht="11.25" customHeight="1">
      <c r="A146" t="s">
        <v>2374</v>
      </c>
      <c r="B146" t="s">
        <v>16</v>
      </c>
      <c r="C146" t="s">
        <v>2888</v>
      </c>
      <c r="D146" t="s">
        <v>2889</v>
      </c>
      <c r="E146" t="s">
        <v>2890</v>
      </c>
      <c r="F146" t="s">
        <v>2479</v>
      </c>
      <c r="G146" t="s">
        <v>22</v>
      </c>
      <c r="H146" t="s">
        <v>22</v>
      </c>
      <c r="I146" t="s">
        <v>842</v>
      </c>
    </row>
    <row r="147" spans="1:9" ht="11.25" customHeight="1">
      <c r="A147" t="s">
        <v>2374</v>
      </c>
      <c r="B147" t="s">
        <v>16</v>
      </c>
      <c r="C147" t="s">
        <v>2891</v>
      </c>
      <c r="D147" t="s">
        <v>2892</v>
      </c>
      <c r="E147" t="s">
        <v>2746</v>
      </c>
      <c r="F147" t="s">
        <v>2893</v>
      </c>
      <c r="G147" t="s">
        <v>22</v>
      </c>
      <c r="H147" t="s">
        <v>22</v>
      </c>
      <c r="I147" t="s">
        <v>842</v>
      </c>
    </row>
    <row r="148" spans="1:9" ht="11.25" customHeight="1">
      <c r="A148" t="s">
        <v>2374</v>
      </c>
      <c r="B148" t="s">
        <v>16</v>
      </c>
      <c r="C148" t="s">
        <v>2894</v>
      </c>
      <c r="D148" t="s">
        <v>2895</v>
      </c>
      <c r="E148" t="s">
        <v>2896</v>
      </c>
      <c r="F148" t="s">
        <v>2534</v>
      </c>
      <c r="G148" t="s">
        <v>2897</v>
      </c>
      <c r="H148" t="s">
        <v>22</v>
      </c>
      <c r="I148" t="s">
        <v>842</v>
      </c>
    </row>
    <row r="149" spans="1:9" ht="11.25" customHeight="1">
      <c r="A149" t="s">
        <v>2374</v>
      </c>
      <c r="B149" t="s">
        <v>16</v>
      </c>
      <c r="C149" t="s">
        <v>2898</v>
      </c>
      <c r="D149" t="s">
        <v>2899</v>
      </c>
      <c r="E149" t="s">
        <v>2900</v>
      </c>
      <c r="F149" t="s">
        <v>2479</v>
      </c>
      <c r="G149" t="s">
        <v>22</v>
      </c>
      <c r="H149" t="s">
        <v>2901</v>
      </c>
      <c r="I149" t="s">
        <v>842</v>
      </c>
    </row>
    <row r="150" spans="1:9" ht="11.25" customHeight="1">
      <c r="A150" t="s">
        <v>2374</v>
      </c>
      <c r="B150" t="s">
        <v>16</v>
      </c>
      <c r="C150" t="s">
        <v>2902</v>
      </c>
      <c r="D150" t="s">
        <v>2903</v>
      </c>
      <c r="E150" t="s">
        <v>2904</v>
      </c>
      <c r="F150" t="s">
        <v>2444</v>
      </c>
      <c r="G150" t="s">
        <v>2905</v>
      </c>
      <c r="H150" t="s">
        <v>22</v>
      </c>
      <c r="I150" t="s">
        <v>842</v>
      </c>
    </row>
    <row r="151" spans="1:9" ht="11.25" customHeight="1">
      <c r="A151" t="s">
        <v>2374</v>
      </c>
      <c r="B151" t="s">
        <v>16</v>
      </c>
      <c r="C151" t="s">
        <v>2906</v>
      </c>
      <c r="D151" t="s">
        <v>2907</v>
      </c>
      <c r="E151" t="s">
        <v>2908</v>
      </c>
      <c r="F151" t="s">
        <v>2432</v>
      </c>
      <c r="G151" t="s">
        <v>2909</v>
      </c>
      <c r="H151" t="s">
        <v>22</v>
      </c>
      <c r="I151" t="s">
        <v>842</v>
      </c>
    </row>
    <row r="152" spans="1:9" ht="11.25" customHeight="1">
      <c r="A152" t="s">
        <v>2374</v>
      </c>
      <c r="B152" t="s">
        <v>16</v>
      </c>
      <c r="C152" t="s">
        <v>2910</v>
      </c>
      <c r="D152" t="s">
        <v>2911</v>
      </c>
      <c r="E152" t="s">
        <v>2912</v>
      </c>
      <c r="F152" t="s">
        <v>2456</v>
      </c>
      <c r="G152" t="s">
        <v>22</v>
      </c>
      <c r="H152" t="s">
        <v>22</v>
      </c>
      <c r="I152" t="s">
        <v>842</v>
      </c>
    </row>
    <row r="153" spans="1:9" ht="11.25" customHeight="1">
      <c r="A153" t="s">
        <v>2374</v>
      </c>
      <c r="B153" t="s">
        <v>16</v>
      </c>
      <c r="C153" t="s">
        <v>2913</v>
      </c>
      <c r="D153" t="s">
        <v>2914</v>
      </c>
      <c r="E153" t="s">
        <v>2915</v>
      </c>
      <c r="F153" t="s">
        <v>2728</v>
      </c>
      <c r="G153" t="s">
        <v>22</v>
      </c>
      <c r="H153" t="s">
        <v>22</v>
      </c>
      <c r="I153" t="s">
        <v>842</v>
      </c>
    </row>
    <row r="154" spans="1:9" ht="11.25" customHeight="1">
      <c r="A154" t="s">
        <v>2374</v>
      </c>
      <c r="B154" t="s">
        <v>16</v>
      </c>
      <c r="C154" t="s">
        <v>2916</v>
      </c>
      <c r="D154" t="s">
        <v>2917</v>
      </c>
      <c r="E154" t="s">
        <v>2918</v>
      </c>
      <c r="F154" t="s">
        <v>2534</v>
      </c>
      <c r="G154" t="s">
        <v>22</v>
      </c>
      <c r="H154" t="s">
        <v>2919</v>
      </c>
      <c r="I154" t="s">
        <v>842</v>
      </c>
    </row>
    <row r="155" spans="1:9" ht="11.25" customHeight="1">
      <c r="A155" t="s">
        <v>2374</v>
      </c>
      <c r="B155" t="s">
        <v>16</v>
      </c>
      <c r="C155" t="s">
        <v>2920</v>
      </c>
      <c r="D155" t="s">
        <v>2921</v>
      </c>
      <c r="E155" t="s">
        <v>2922</v>
      </c>
      <c r="F155" t="s">
        <v>2410</v>
      </c>
      <c r="G155" t="s">
        <v>22</v>
      </c>
      <c r="H155" t="s">
        <v>22</v>
      </c>
      <c r="I155" t="s">
        <v>842</v>
      </c>
    </row>
    <row r="156" spans="1:9" ht="11.25" customHeight="1">
      <c r="A156" t="s">
        <v>2374</v>
      </c>
      <c r="B156" t="s">
        <v>16</v>
      </c>
      <c r="C156" t="s">
        <v>2923</v>
      </c>
      <c r="D156" t="s">
        <v>2924</v>
      </c>
      <c r="E156" t="s">
        <v>2925</v>
      </c>
      <c r="F156" t="s">
        <v>51</v>
      </c>
      <c r="G156" t="s">
        <v>2926</v>
      </c>
      <c r="H156" t="s">
        <v>22</v>
      </c>
      <c r="I156" t="s">
        <v>842</v>
      </c>
    </row>
    <row r="157" spans="1:9" ht="11.25" customHeight="1">
      <c r="A157" t="s">
        <v>2374</v>
      </c>
      <c r="B157" t="s">
        <v>16</v>
      </c>
      <c r="C157" t="s">
        <v>2927</v>
      </c>
      <c r="D157" t="s">
        <v>2928</v>
      </c>
      <c r="E157" t="s">
        <v>2929</v>
      </c>
      <c r="F157" t="s">
        <v>2930</v>
      </c>
      <c r="G157" t="s">
        <v>22</v>
      </c>
      <c r="H157" t="s">
        <v>22</v>
      </c>
      <c r="I157" t="s">
        <v>842</v>
      </c>
    </row>
    <row r="158" spans="1:9" ht="11.25" customHeight="1">
      <c r="A158" t="s">
        <v>2374</v>
      </c>
      <c r="B158" t="s">
        <v>16</v>
      </c>
      <c r="C158" t="s">
        <v>2931</v>
      </c>
      <c r="D158" t="s">
        <v>2932</v>
      </c>
      <c r="E158" t="s">
        <v>2933</v>
      </c>
      <c r="F158" t="s">
        <v>51</v>
      </c>
      <c r="G158" t="s">
        <v>22</v>
      </c>
      <c r="H158" t="s">
        <v>22</v>
      </c>
      <c r="I158" t="s">
        <v>842</v>
      </c>
    </row>
    <row r="159" spans="1:9" ht="11.25" customHeight="1">
      <c r="A159" t="s">
        <v>2374</v>
      </c>
      <c r="B159" t="s">
        <v>16</v>
      </c>
      <c r="C159" t="s">
        <v>2934</v>
      </c>
      <c r="D159" t="s">
        <v>2935</v>
      </c>
      <c r="E159" t="s">
        <v>2936</v>
      </c>
      <c r="F159" t="s">
        <v>51</v>
      </c>
      <c r="G159" t="s">
        <v>22</v>
      </c>
      <c r="H159" t="s">
        <v>22</v>
      </c>
      <c r="I159" t="s">
        <v>842</v>
      </c>
    </row>
    <row r="160" spans="1:9" ht="11.25" customHeight="1">
      <c r="A160" t="s">
        <v>2374</v>
      </c>
      <c r="B160" t="s">
        <v>16</v>
      </c>
      <c r="C160" t="s">
        <v>2937</v>
      </c>
      <c r="D160" t="s">
        <v>2938</v>
      </c>
      <c r="E160" t="s">
        <v>2939</v>
      </c>
      <c r="F160" t="s">
        <v>2940</v>
      </c>
      <c r="G160" t="s">
        <v>22</v>
      </c>
      <c r="H160" t="s">
        <v>22</v>
      </c>
      <c r="I160" t="s">
        <v>842</v>
      </c>
    </row>
    <row r="161" spans="1:9" ht="11.25" customHeight="1">
      <c r="A161" t="s">
        <v>2374</v>
      </c>
      <c r="B161" t="s">
        <v>16</v>
      </c>
      <c r="C161" t="s">
        <v>2941</v>
      </c>
      <c r="D161" t="s">
        <v>2942</v>
      </c>
      <c r="E161" t="s">
        <v>2943</v>
      </c>
      <c r="F161" t="s">
        <v>2468</v>
      </c>
      <c r="G161" t="s">
        <v>2944</v>
      </c>
      <c r="H161" t="s">
        <v>22</v>
      </c>
      <c r="I161" t="s">
        <v>842</v>
      </c>
    </row>
    <row r="162" spans="1:9" ht="11.25" customHeight="1">
      <c r="A162" t="s">
        <v>2374</v>
      </c>
      <c r="B162" t="s">
        <v>16</v>
      </c>
      <c r="C162" t="s">
        <v>2945</v>
      </c>
      <c r="D162" t="s">
        <v>2946</v>
      </c>
      <c r="E162" t="s">
        <v>2947</v>
      </c>
      <c r="F162" t="s">
        <v>2948</v>
      </c>
      <c r="G162" t="s">
        <v>2949</v>
      </c>
      <c r="H162" t="s">
        <v>22</v>
      </c>
      <c r="I162" t="s">
        <v>842</v>
      </c>
    </row>
    <row r="163" spans="1:9" ht="11.25" customHeight="1">
      <c r="A163" t="s">
        <v>2374</v>
      </c>
      <c r="B163" t="s">
        <v>16</v>
      </c>
      <c r="C163" t="s">
        <v>2950</v>
      </c>
      <c r="D163" t="s">
        <v>2951</v>
      </c>
      <c r="E163" t="s">
        <v>2952</v>
      </c>
      <c r="F163" t="s">
        <v>51</v>
      </c>
      <c r="G163" t="s">
        <v>22</v>
      </c>
      <c r="H163" t="s">
        <v>22</v>
      </c>
      <c r="I163" t="s">
        <v>842</v>
      </c>
    </row>
    <row r="164" spans="1:9" ht="11.25" customHeight="1">
      <c r="A164" t="s">
        <v>2374</v>
      </c>
      <c r="B164" t="s">
        <v>16</v>
      </c>
      <c r="C164" t="s">
        <v>2953</v>
      </c>
      <c r="D164" t="s">
        <v>2954</v>
      </c>
      <c r="E164" t="s">
        <v>2955</v>
      </c>
      <c r="F164" t="s">
        <v>2777</v>
      </c>
      <c r="G164" t="s">
        <v>2956</v>
      </c>
      <c r="H164" t="s">
        <v>22</v>
      </c>
      <c r="I164" t="s">
        <v>842</v>
      </c>
    </row>
    <row r="165" spans="1:9" ht="11.25" customHeight="1">
      <c r="A165" t="s">
        <v>2374</v>
      </c>
      <c r="B165" t="s">
        <v>16</v>
      </c>
      <c r="C165" t="s">
        <v>2957</v>
      </c>
      <c r="D165" t="s">
        <v>2958</v>
      </c>
      <c r="E165" t="s">
        <v>2959</v>
      </c>
      <c r="F165" t="s">
        <v>2582</v>
      </c>
      <c r="G165" t="s">
        <v>22</v>
      </c>
      <c r="H165" t="s">
        <v>22</v>
      </c>
      <c r="I165" t="s">
        <v>842</v>
      </c>
    </row>
    <row r="166" spans="1:9" ht="11.25" customHeight="1">
      <c r="A166" t="s">
        <v>2374</v>
      </c>
      <c r="B166" t="s">
        <v>16</v>
      </c>
      <c r="C166" t="s">
        <v>2960</v>
      </c>
      <c r="D166" t="s">
        <v>2961</v>
      </c>
      <c r="E166" t="s">
        <v>2962</v>
      </c>
      <c r="F166" t="s">
        <v>2963</v>
      </c>
      <c r="G166" t="s">
        <v>22</v>
      </c>
      <c r="H166" t="s">
        <v>22</v>
      </c>
      <c r="I166" t="s">
        <v>842</v>
      </c>
    </row>
    <row r="167" spans="1:9" ht="11.25" customHeight="1">
      <c r="A167" t="s">
        <v>2374</v>
      </c>
      <c r="B167" t="s">
        <v>16</v>
      </c>
      <c r="C167" t="s">
        <v>22</v>
      </c>
      <c r="D167" t="s">
        <v>2964</v>
      </c>
      <c r="E167" t="s">
        <v>2965</v>
      </c>
      <c r="F167" t="s">
        <v>2456</v>
      </c>
      <c r="G167" t="s">
        <v>22</v>
      </c>
      <c r="H167" t="s">
        <v>22</v>
      </c>
      <c r="I167" t="s">
        <v>842</v>
      </c>
    </row>
    <row r="168" spans="1:9" ht="11.25" customHeight="1">
      <c r="A168" t="s">
        <v>2374</v>
      </c>
      <c r="B168" t="s">
        <v>16</v>
      </c>
      <c r="C168" t="s">
        <v>22</v>
      </c>
      <c r="D168" t="s">
        <v>2966</v>
      </c>
      <c r="E168" t="s">
        <v>2967</v>
      </c>
      <c r="F168" t="s">
        <v>2444</v>
      </c>
      <c r="G168" t="s">
        <v>22</v>
      </c>
      <c r="H168" t="s">
        <v>22</v>
      </c>
      <c r="I168" t="s">
        <v>842</v>
      </c>
    </row>
    <row r="169" spans="1:9" ht="11.25" customHeight="1">
      <c r="A169" t="s">
        <v>2374</v>
      </c>
      <c r="B169" t="s">
        <v>16</v>
      </c>
      <c r="C169" t="s">
        <v>2968</v>
      </c>
      <c r="D169" t="s">
        <v>2969</v>
      </c>
      <c r="E169" t="s">
        <v>2970</v>
      </c>
      <c r="F169" t="s">
        <v>51</v>
      </c>
      <c r="G169" t="s">
        <v>22</v>
      </c>
      <c r="H169" t="s">
        <v>22</v>
      </c>
      <c r="I169" t="s">
        <v>842</v>
      </c>
    </row>
    <row r="170" spans="1:9" ht="11.25" customHeight="1">
      <c r="A170" t="s">
        <v>2374</v>
      </c>
      <c r="B170" t="s">
        <v>16</v>
      </c>
      <c r="C170" t="s">
        <v>2971</v>
      </c>
      <c r="D170" t="s">
        <v>2972</v>
      </c>
      <c r="E170" t="s">
        <v>2973</v>
      </c>
      <c r="F170" t="s">
        <v>2382</v>
      </c>
      <c r="G170" t="s">
        <v>22</v>
      </c>
      <c r="H170" t="s">
        <v>22</v>
      </c>
      <c r="I170" t="s">
        <v>842</v>
      </c>
    </row>
    <row r="171" spans="1:9" ht="11.25" customHeight="1">
      <c r="A171" t="s">
        <v>2374</v>
      </c>
      <c r="B171" t="s">
        <v>16</v>
      </c>
      <c r="C171" t="s">
        <v>2974</v>
      </c>
      <c r="D171" t="s">
        <v>2975</v>
      </c>
      <c r="E171" t="s">
        <v>2495</v>
      </c>
      <c r="F171" t="s">
        <v>2976</v>
      </c>
      <c r="G171" t="s">
        <v>22</v>
      </c>
      <c r="H171" t="s">
        <v>22</v>
      </c>
      <c r="I171" t="s">
        <v>842</v>
      </c>
    </row>
    <row r="172" spans="1:9" ht="11.25" customHeight="1">
      <c r="A172" t="s">
        <v>2374</v>
      </c>
      <c r="B172" t="s">
        <v>16</v>
      </c>
      <c r="C172" t="s">
        <v>2977</v>
      </c>
      <c r="D172" t="s">
        <v>2978</v>
      </c>
      <c r="E172" t="s">
        <v>2979</v>
      </c>
      <c r="F172" t="s">
        <v>51</v>
      </c>
      <c r="G172" t="s">
        <v>22</v>
      </c>
      <c r="H172" t="s">
        <v>22</v>
      </c>
      <c r="I172" t="s">
        <v>842</v>
      </c>
    </row>
    <row r="173" spans="1:9" ht="11.25" customHeight="1">
      <c r="A173" t="s">
        <v>2374</v>
      </c>
      <c r="B173" t="s">
        <v>16</v>
      </c>
      <c r="C173" t="s">
        <v>2980</v>
      </c>
      <c r="D173" t="s">
        <v>2981</v>
      </c>
      <c r="E173" t="s">
        <v>2717</v>
      </c>
      <c r="F173" t="s">
        <v>2982</v>
      </c>
      <c r="G173" t="s">
        <v>22</v>
      </c>
      <c r="H173" t="s">
        <v>22</v>
      </c>
      <c r="I173" t="s">
        <v>842</v>
      </c>
    </row>
    <row r="174" spans="1:9" ht="11.25" customHeight="1">
      <c r="A174" t="s">
        <v>2374</v>
      </c>
      <c r="B174" t="s">
        <v>16</v>
      </c>
      <c r="C174" t="s">
        <v>2983</v>
      </c>
      <c r="D174" t="s">
        <v>2984</v>
      </c>
      <c r="E174" t="s">
        <v>2659</v>
      </c>
      <c r="F174" t="s">
        <v>2741</v>
      </c>
      <c r="G174" t="s">
        <v>22</v>
      </c>
      <c r="H174" t="s">
        <v>22</v>
      </c>
      <c r="I174" t="s">
        <v>842</v>
      </c>
    </row>
    <row r="175" spans="1:9" ht="11.25" customHeight="1">
      <c r="A175" t="s">
        <v>2374</v>
      </c>
      <c r="B175" t="s">
        <v>16</v>
      </c>
      <c r="C175" t="s">
        <v>2985</v>
      </c>
      <c r="D175" t="s">
        <v>2986</v>
      </c>
      <c r="E175" t="s">
        <v>2659</v>
      </c>
      <c r="F175" t="s">
        <v>2987</v>
      </c>
      <c r="G175" t="s">
        <v>22</v>
      </c>
      <c r="H175" t="s">
        <v>22</v>
      </c>
      <c r="I175" t="s">
        <v>842</v>
      </c>
    </row>
    <row r="176" spans="1:9" ht="11.25" customHeight="1">
      <c r="A176" t="s">
        <v>2374</v>
      </c>
      <c r="B176" t="s">
        <v>16</v>
      </c>
      <c r="C176" t="s">
        <v>2988</v>
      </c>
      <c r="D176" t="s">
        <v>2989</v>
      </c>
      <c r="E176" t="s">
        <v>2952</v>
      </c>
      <c r="F176" t="s">
        <v>2848</v>
      </c>
      <c r="G176" t="s">
        <v>2990</v>
      </c>
      <c r="H176" t="s">
        <v>22</v>
      </c>
      <c r="I176" t="s">
        <v>842</v>
      </c>
    </row>
    <row r="177" spans="1:9" ht="11.25" customHeight="1">
      <c r="A177" t="s">
        <v>2374</v>
      </c>
      <c r="B177" t="s">
        <v>16</v>
      </c>
      <c r="C177" t="s">
        <v>2991</v>
      </c>
      <c r="D177" t="s">
        <v>2992</v>
      </c>
      <c r="E177" t="s">
        <v>2428</v>
      </c>
      <c r="F177" t="s">
        <v>2993</v>
      </c>
      <c r="G177" t="s">
        <v>22</v>
      </c>
      <c r="H177" t="s">
        <v>22</v>
      </c>
      <c r="I177" t="s">
        <v>842</v>
      </c>
    </row>
    <row r="178" spans="1:9" ht="11.25" customHeight="1">
      <c r="A178" t="s">
        <v>2374</v>
      </c>
      <c r="B178" t="s">
        <v>16</v>
      </c>
      <c r="C178" t="s">
        <v>2994</v>
      </c>
      <c r="D178" t="s">
        <v>2995</v>
      </c>
      <c r="E178" t="s">
        <v>2428</v>
      </c>
      <c r="F178" t="s">
        <v>2996</v>
      </c>
      <c r="G178" t="s">
        <v>22</v>
      </c>
      <c r="H178" t="s">
        <v>22</v>
      </c>
      <c r="I178" t="s">
        <v>842</v>
      </c>
    </row>
    <row r="179" spans="1:9" ht="11.25" customHeight="1">
      <c r="A179" t="s">
        <v>2374</v>
      </c>
      <c r="B179" t="s">
        <v>16</v>
      </c>
      <c r="C179" t="s">
        <v>2997</v>
      </c>
      <c r="D179" t="s">
        <v>2998</v>
      </c>
      <c r="E179" t="s">
        <v>2428</v>
      </c>
      <c r="F179" t="s">
        <v>2999</v>
      </c>
      <c r="G179" t="s">
        <v>22</v>
      </c>
      <c r="H179" t="s">
        <v>22</v>
      </c>
      <c r="I179" t="s">
        <v>842</v>
      </c>
    </row>
    <row r="180" spans="1:9" ht="11.25" customHeight="1">
      <c r="A180" t="s">
        <v>2374</v>
      </c>
      <c r="B180" t="s">
        <v>16</v>
      </c>
      <c r="C180" t="s">
        <v>3000</v>
      </c>
      <c r="D180" t="s">
        <v>3001</v>
      </c>
      <c r="E180" t="s">
        <v>2738</v>
      </c>
      <c r="F180" t="s">
        <v>3002</v>
      </c>
      <c r="G180" t="s">
        <v>22</v>
      </c>
      <c r="H180" t="s">
        <v>22</v>
      </c>
      <c r="I180" t="s">
        <v>842</v>
      </c>
    </row>
    <row r="181" spans="1:9" ht="11.25" customHeight="1">
      <c r="A181" t="s">
        <v>2374</v>
      </c>
      <c r="B181" t="s">
        <v>16</v>
      </c>
      <c r="C181" t="s">
        <v>3003</v>
      </c>
      <c r="D181" t="s">
        <v>3004</v>
      </c>
      <c r="E181" t="s">
        <v>2738</v>
      </c>
      <c r="F181" t="s">
        <v>3005</v>
      </c>
      <c r="G181" t="s">
        <v>3006</v>
      </c>
      <c r="H181" t="s">
        <v>22</v>
      </c>
      <c r="I181" t="s">
        <v>842</v>
      </c>
    </row>
    <row r="182" spans="1:9" ht="11.25" customHeight="1">
      <c r="A182" t="s">
        <v>2374</v>
      </c>
      <c r="B182" t="s">
        <v>16</v>
      </c>
      <c r="C182" t="s">
        <v>3007</v>
      </c>
      <c r="D182" t="s">
        <v>3008</v>
      </c>
      <c r="E182" t="s">
        <v>3009</v>
      </c>
      <c r="F182" t="s">
        <v>2848</v>
      </c>
      <c r="G182" t="s">
        <v>22</v>
      </c>
      <c r="H182" t="s">
        <v>22</v>
      </c>
      <c r="I182" t="s">
        <v>842</v>
      </c>
    </row>
    <row r="183" spans="1:9" ht="11.25" customHeight="1">
      <c r="A183" t="s">
        <v>2374</v>
      </c>
      <c r="B183" t="s">
        <v>16</v>
      </c>
      <c r="C183" t="s">
        <v>3010</v>
      </c>
      <c r="D183" t="s">
        <v>3011</v>
      </c>
      <c r="E183" t="s">
        <v>3012</v>
      </c>
      <c r="F183" t="s">
        <v>2432</v>
      </c>
      <c r="G183" t="s">
        <v>22</v>
      </c>
      <c r="H183" t="s">
        <v>22</v>
      </c>
      <c r="I183" t="s">
        <v>842</v>
      </c>
    </row>
    <row r="184" spans="1:9" ht="11.25" customHeight="1">
      <c r="A184" t="s">
        <v>2374</v>
      </c>
      <c r="B184" t="s">
        <v>16</v>
      </c>
      <c r="C184" t="s">
        <v>3013</v>
      </c>
      <c r="D184" t="s">
        <v>3014</v>
      </c>
      <c r="E184" t="s">
        <v>3015</v>
      </c>
      <c r="F184" t="s">
        <v>2616</v>
      </c>
      <c r="G184" t="s">
        <v>22</v>
      </c>
      <c r="H184" t="s">
        <v>22</v>
      </c>
      <c r="I184" t="s">
        <v>842</v>
      </c>
    </row>
    <row r="185" spans="1:9" ht="11.25" customHeight="1">
      <c r="A185" t="s">
        <v>2374</v>
      </c>
      <c r="B185" t="s">
        <v>16</v>
      </c>
      <c r="C185" t="s">
        <v>3016</v>
      </c>
      <c r="D185" t="s">
        <v>3017</v>
      </c>
      <c r="E185" t="s">
        <v>3018</v>
      </c>
      <c r="F185" t="s">
        <v>2456</v>
      </c>
      <c r="G185" t="s">
        <v>22</v>
      </c>
      <c r="H185" t="s">
        <v>22</v>
      </c>
      <c r="I185" t="s">
        <v>842</v>
      </c>
    </row>
    <row r="186" spans="1:9" ht="11.25" customHeight="1">
      <c r="A186" t="s">
        <v>2374</v>
      </c>
      <c r="B186" t="s">
        <v>16</v>
      </c>
      <c r="C186" t="s">
        <v>3019</v>
      </c>
      <c r="D186" t="s">
        <v>3020</v>
      </c>
      <c r="E186" t="s">
        <v>2939</v>
      </c>
      <c r="F186" t="s">
        <v>3021</v>
      </c>
      <c r="G186" t="s">
        <v>22</v>
      </c>
      <c r="H186" t="s">
        <v>22</v>
      </c>
      <c r="I186" t="s">
        <v>842</v>
      </c>
    </row>
    <row r="187" spans="1:9" ht="11.25" customHeight="1">
      <c r="A187" t="s">
        <v>2374</v>
      </c>
      <c r="B187" t="s">
        <v>16</v>
      </c>
      <c r="C187" t="s">
        <v>2379</v>
      </c>
      <c r="D187" t="s">
        <v>2380</v>
      </c>
      <c r="E187" t="s">
        <v>2381</v>
      </c>
      <c r="F187" t="s">
        <v>2382</v>
      </c>
      <c r="G187" t="s">
        <v>22</v>
      </c>
      <c r="H187" t="s">
        <v>22</v>
      </c>
      <c r="I187" t="s">
        <v>930</v>
      </c>
    </row>
    <row r="188" spans="1:9" ht="11.25" customHeight="1">
      <c r="A188" t="s">
        <v>2374</v>
      </c>
      <c r="B188" t="s">
        <v>16</v>
      </c>
      <c r="C188" t="s">
        <v>2403</v>
      </c>
      <c r="D188" t="s">
        <v>2404</v>
      </c>
      <c r="E188" t="s">
        <v>2405</v>
      </c>
      <c r="F188" t="s">
        <v>2406</v>
      </c>
      <c r="G188" t="s">
        <v>22</v>
      </c>
      <c r="H188" t="s">
        <v>22</v>
      </c>
      <c r="I188" t="s">
        <v>930</v>
      </c>
    </row>
    <row r="189" spans="1:9" ht="11.25" customHeight="1">
      <c r="A189" t="s">
        <v>2374</v>
      </c>
      <c r="B189" t="s">
        <v>16</v>
      </c>
      <c r="C189" t="s">
        <v>2407</v>
      </c>
      <c r="D189" t="s">
        <v>2408</v>
      </c>
      <c r="E189" t="s">
        <v>2409</v>
      </c>
      <c r="F189" t="s">
        <v>2410</v>
      </c>
      <c r="G189" t="s">
        <v>2411</v>
      </c>
      <c r="H189" t="s">
        <v>22</v>
      </c>
      <c r="I189" t="s">
        <v>930</v>
      </c>
    </row>
    <row r="190" spans="1:9" ht="11.25" customHeight="1">
      <c r="A190" t="s">
        <v>2374</v>
      </c>
      <c r="B190" t="s">
        <v>16</v>
      </c>
      <c r="C190" t="s">
        <v>2421</v>
      </c>
      <c r="D190" t="s">
        <v>2422</v>
      </c>
      <c r="E190" t="s">
        <v>2423</v>
      </c>
      <c r="F190" t="s">
        <v>2424</v>
      </c>
      <c r="G190" t="s">
        <v>2425</v>
      </c>
      <c r="H190" t="s">
        <v>22</v>
      </c>
      <c r="I190" t="s">
        <v>930</v>
      </c>
    </row>
    <row r="191" spans="1:9" ht="11.25" customHeight="1">
      <c r="A191" t="s">
        <v>2374</v>
      </c>
      <c r="B191" t="s">
        <v>16</v>
      </c>
      <c r="C191" t="s">
        <v>2426</v>
      </c>
      <c r="D191" t="s">
        <v>2427</v>
      </c>
      <c r="E191" t="s">
        <v>2428</v>
      </c>
      <c r="F191" t="s">
        <v>2410</v>
      </c>
      <c r="G191" t="s">
        <v>22</v>
      </c>
      <c r="H191" t="s">
        <v>22</v>
      </c>
      <c r="I191" t="s">
        <v>930</v>
      </c>
    </row>
    <row r="192" spans="1:9" ht="11.25" customHeight="1">
      <c r="A192" t="s">
        <v>2374</v>
      </c>
      <c r="B192" t="s">
        <v>16</v>
      </c>
      <c r="C192" t="s">
        <v>2429</v>
      </c>
      <c r="D192" t="s">
        <v>2430</v>
      </c>
      <c r="E192" t="s">
        <v>2431</v>
      </c>
      <c r="F192" t="s">
        <v>2432</v>
      </c>
      <c r="G192" t="s">
        <v>22</v>
      </c>
      <c r="H192" t="s">
        <v>22</v>
      </c>
      <c r="I192" t="s">
        <v>930</v>
      </c>
    </row>
    <row r="193" spans="1:9" ht="11.25" customHeight="1">
      <c r="A193" t="s">
        <v>2374</v>
      </c>
      <c r="B193" t="s">
        <v>16</v>
      </c>
      <c r="C193" t="s">
        <v>2433</v>
      </c>
      <c r="D193" t="s">
        <v>2434</v>
      </c>
      <c r="E193" t="s">
        <v>2435</v>
      </c>
      <c r="F193" t="s">
        <v>2436</v>
      </c>
      <c r="G193" t="s">
        <v>22</v>
      </c>
      <c r="H193" t="s">
        <v>22</v>
      </c>
      <c r="I193" t="s">
        <v>930</v>
      </c>
    </row>
    <row r="194" spans="1:9" ht="11.25" customHeight="1">
      <c r="A194" t="s">
        <v>2374</v>
      </c>
      <c r="B194" t="s">
        <v>16</v>
      </c>
      <c r="C194" t="s">
        <v>2437</v>
      </c>
      <c r="D194" t="s">
        <v>2438</v>
      </c>
      <c r="E194" t="s">
        <v>2439</v>
      </c>
      <c r="F194" t="s">
        <v>2440</v>
      </c>
      <c r="G194" t="s">
        <v>22</v>
      </c>
      <c r="H194" t="s">
        <v>22</v>
      </c>
      <c r="I194" t="s">
        <v>930</v>
      </c>
    </row>
    <row r="195" spans="1:9" ht="11.25" customHeight="1">
      <c r="A195" t="s">
        <v>2374</v>
      </c>
      <c r="B195" t="s">
        <v>16</v>
      </c>
      <c r="C195" t="s">
        <v>2445</v>
      </c>
      <c r="D195" t="s">
        <v>2446</v>
      </c>
      <c r="E195" t="s">
        <v>2447</v>
      </c>
      <c r="F195" t="s">
        <v>2448</v>
      </c>
      <c r="G195" t="s">
        <v>22</v>
      </c>
      <c r="H195" t="s">
        <v>22</v>
      </c>
      <c r="I195" t="s">
        <v>930</v>
      </c>
    </row>
    <row r="196" spans="1:9" ht="11.25" customHeight="1">
      <c r="A196" t="s">
        <v>2374</v>
      </c>
      <c r="B196" t="s">
        <v>16</v>
      </c>
      <c r="C196" t="s">
        <v>2449</v>
      </c>
      <c r="D196" t="s">
        <v>2450</v>
      </c>
      <c r="E196" t="s">
        <v>2451</v>
      </c>
      <c r="F196" t="s">
        <v>2402</v>
      </c>
      <c r="G196" t="s">
        <v>2452</v>
      </c>
      <c r="H196" t="s">
        <v>22</v>
      </c>
      <c r="I196" t="s">
        <v>930</v>
      </c>
    </row>
    <row r="197" spans="1:9" ht="11.25" customHeight="1">
      <c r="A197" t="s">
        <v>2374</v>
      </c>
      <c r="B197" t="s">
        <v>16</v>
      </c>
      <c r="C197" t="s">
        <v>2501</v>
      </c>
      <c r="D197" t="s">
        <v>2502</v>
      </c>
      <c r="E197" t="s">
        <v>2503</v>
      </c>
      <c r="F197" t="s">
        <v>2504</v>
      </c>
      <c r="G197" t="s">
        <v>2505</v>
      </c>
      <c r="H197" t="s">
        <v>22</v>
      </c>
      <c r="I197" t="s">
        <v>930</v>
      </c>
    </row>
    <row r="198" spans="1:9" ht="11.25" customHeight="1">
      <c r="A198" t="s">
        <v>2374</v>
      </c>
      <c r="B198" t="s">
        <v>16</v>
      </c>
      <c r="C198" t="s">
        <v>2531</v>
      </c>
      <c r="D198" t="s">
        <v>2532</v>
      </c>
      <c r="E198" t="s">
        <v>2533</v>
      </c>
      <c r="F198" t="s">
        <v>2534</v>
      </c>
      <c r="G198" t="s">
        <v>2535</v>
      </c>
      <c r="H198" t="s">
        <v>22</v>
      </c>
      <c r="I198" t="s">
        <v>930</v>
      </c>
    </row>
    <row r="199" spans="1:9" ht="11.25" customHeight="1">
      <c r="A199" t="s">
        <v>2374</v>
      </c>
      <c r="B199" t="s">
        <v>16</v>
      </c>
      <c r="C199" t="s">
        <v>2540</v>
      </c>
      <c r="D199" t="s">
        <v>2541</v>
      </c>
      <c r="E199" t="s">
        <v>2542</v>
      </c>
      <c r="F199" t="s">
        <v>2534</v>
      </c>
      <c r="G199" t="s">
        <v>2543</v>
      </c>
      <c r="H199" t="s">
        <v>22</v>
      </c>
      <c r="I199" t="s">
        <v>930</v>
      </c>
    </row>
    <row r="200" spans="1:9" ht="11.25" customHeight="1">
      <c r="A200" t="s">
        <v>2374</v>
      </c>
      <c r="B200" t="s">
        <v>16</v>
      </c>
      <c r="C200" t="s">
        <v>2547</v>
      </c>
      <c r="D200" t="s">
        <v>2548</v>
      </c>
      <c r="E200" t="s">
        <v>2549</v>
      </c>
      <c r="F200" t="s">
        <v>2397</v>
      </c>
      <c r="G200" t="s">
        <v>22</v>
      </c>
      <c r="H200" t="s">
        <v>22</v>
      </c>
      <c r="I200" t="s">
        <v>930</v>
      </c>
    </row>
    <row r="201" spans="1:9" ht="11.25" customHeight="1">
      <c r="A201" t="s">
        <v>2374</v>
      </c>
      <c r="B201" t="s">
        <v>16</v>
      </c>
      <c r="C201" t="s">
        <v>2550</v>
      </c>
      <c r="D201" t="s">
        <v>2551</v>
      </c>
      <c r="E201" t="s">
        <v>2552</v>
      </c>
      <c r="F201" t="s">
        <v>2424</v>
      </c>
      <c r="G201" t="s">
        <v>22</v>
      </c>
      <c r="H201" t="s">
        <v>22</v>
      </c>
      <c r="I201" t="s">
        <v>930</v>
      </c>
    </row>
    <row r="202" spans="1:9" ht="11.25" customHeight="1">
      <c r="A202" t="s">
        <v>2374</v>
      </c>
      <c r="B202" t="s">
        <v>16</v>
      </c>
      <c r="C202" t="s">
        <v>2553</v>
      </c>
      <c r="D202" t="s">
        <v>2554</v>
      </c>
      <c r="E202" t="s">
        <v>2555</v>
      </c>
      <c r="F202" t="s">
        <v>2556</v>
      </c>
      <c r="G202" t="s">
        <v>2557</v>
      </c>
      <c r="H202" t="s">
        <v>22</v>
      </c>
      <c r="I202" t="s">
        <v>930</v>
      </c>
    </row>
    <row r="203" spans="1:9" ht="11.25" customHeight="1">
      <c r="A203" t="s">
        <v>2374</v>
      </c>
      <c r="B203" t="s">
        <v>16</v>
      </c>
      <c r="C203" t="s">
        <v>2558</v>
      </c>
      <c r="D203" t="s">
        <v>2559</v>
      </c>
      <c r="E203" t="s">
        <v>2560</v>
      </c>
      <c r="F203" t="s">
        <v>2556</v>
      </c>
      <c r="G203" t="s">
        <v>2561</v>
      </c>
      <c r="H203" t="s">
        <v>22</v>
      </c>
      <c r="I203" t="s">
        <v>930</v>
      </c>
    </row>
    <row r="204" spans="1:9" ht="11.25" customHeight="1">
      <c r="A204" t="s">
        <v>2374</v>
      </c>
      <c r="B204" t="s">
        <v>16</v>
      </c>
      <c r="C204" t="s">
        <v>2562</v>
      </c>
      <c r="D204" t="s">
        <v>2563</v>
      </c>
      <c r="E204" t="s">
        <v>2564</v>
      </c>
      <c r="F204" t="s">
        <v>2456</v>
      </c>
      <c r="G204" t="s">
        <v>22</v>
      </c>
      <c r="H204" t="s">
        <v>22</v>
      </c>
      <c r="I204" t="s">
        <v>930</v>
      </c>
    </row>
    <row r="205" spans="1:9" ht="11.25" customHeight="1">
      <c r="A205" t="s">
        <v>2374</v>
      </c>
      <c r="B205" t="s">
        <v>16</v>
      </c>
      <c r="C205" t="s">
        <v>2565</v>
      </c>
      <c r="D205" t="s">
        <v>2566</v>
      </c>
      <c r="E205" t="s">
        <v>2567</v>
      </c>
      <c r="F205" t="s">
        <v>2432</v>
      </c>
      <c r="G205" t="s">
        <v>22</v>
      </c>
      <c r="H205" t="s">
        <v>22</v>
      </c>
      <c r="I205" t="s">
        <v>930</v>
      </c>
    </row>
    <row r="206" spans="1:9" ht="11.25" customHeight="1">
      <c r="A206" t="s">
        <v>2374</v>
      </c>
      <c r="B206" t="s">
        <v>16</v>
      </c>
      <c r="C206" t="s">
        <v>2568</v>
      </c>
      <c r="D206" t="s">
        <v>2569</v>
      </c>
      <c r="E206" t="s">
        <v>2570</v>
      </c>
      <c r="F206" t="s">
        <v>2424</v>
      </c>
      <c r="G206" t="s">
        <v>2571</v>
      </c>
      <c r="H206" t="s">
        <v>22</v>
      </c>
      <c r="I206" t="s">
        <v>930</v>
      </c>
    </row>
    <row r="207" spans="1:9" ht="11.25" customHeight="1">
      <c r="A207" t="s">
        <v>2374</v>
      </c>
      <c r="B207" t="s">
        <v>16</v>
      </c>
      <c r="C207" t="s">
        <v>2572</v>
      </c>
      <c r="D207" t="s">
        <v>2573</v>
      </c>
      <c r="E207" t="s">
        <v>2574</v>
      </c>
      <c r="F207" t="s">
        <v>2424</v>
      </c>
      <c r="G207" t="s">
        <v>2575</v>
      </c>
      <c r="H207" t="s">
        <v>22</v>
      </c>
      <c r="I207" t="s">
        <v>930</v>
      </c>
    </row>
    <row r="208" spans="1:9" ht="11.25" customHeight="1">
      <c r="A208" t="s">
        <v>2374</v>
      </c>
      <c r="B208" t="s">
        <v>16</v>
      </c>
      <c r="C208" t="s">
        <v>2579</v>
      </c>
      <c r="D208" t="s">
        <v>2580</v>
      </c>
      <c r="E208" t="s">
        <v>2581</v>
      </c>
      <c r="F208" t="s">
        <v>2582</v>
      </c>
      <c r="G208" t="s">
        <v>2583</v>
      </c>
      <c r="H208" t="s">
        <v>22</v>
      </c>
      <c r="I208" t="s">
        <v>930</v>
      </c>
    </row>
    <row r="209" spans="1:9" ht="11.25" customHeight="1">
      <c r="A209" t="s">
        <v>2374</v>
      </c>
      <c r="B209" t="s">
        <v>16</v>
      </c>
      <c r="C209" t="s">
        <v>2588</v>
      </c>
      <c r="D209" t="s">
        <v>2589</v>
      </c>
      <c r="E209" t="s">
        <v>2590</v>
      </c>
      <c r="F209" t="s">
        <v>2591</v>
      </c>
      <c r="G209" t="s">
        <v>22</v>
      </c>
      <c r="H209" t="s">
        <v>22</v>
      </c>
      <c r="I209" t="s">
        <v>930</v>
      </c>
    </row>
    <row r="210" spans="1:9" ht="11.25" customHeight="1">
      <c r="A210" t="s">
        <v>2374</v>
      </c>
      <c r="B210" t="s">
        <v>16</v>
      </c>
      <c r="C210" t="s">
        <v>2592</v>
      </c>
      <c r="D210" t="s">
        <v>2593</v>
      </c>
      <c r="E210" t="s">
        <v>2594</v>
      </c>
      <c r="F210" t="s">
        <v>2534</v>
      </c>
      <c r="G210" t="s">
        <v>22</v>
      </c>
      <c r="H210" t="s">
        <v>22</v>
      </c>
      <c r="I210" t="s">
        <v>930</v>
      </c>
    </row>
    <row r="211" spans="1:9" ht="11.25" customHeight="1">
      <c r="A211" t="s">
        <v>2374</v>
      </c>
      <c r="B211" t="s">
        <v>16</v>
      </c>
      <c r="C211" t="s">
        <v>2595</v>
      </c>
      <c r="D211" t="s">
        <v>2596</v>
      </c>
      <c r="E211" t="s">
        <v>2597</v>
      </c>
      <c r="F211" t="s">
        <v>2598</v>
      </c>
      <c r="G211" t="s">
        <v>22</v>
      </c>
      <c r="H211" t="s">
        <v>22</v>
      </c>
      <c r="I211" t="s">
        <v>930</v>
      </c>
    </row>
    <row r="212" spans="1:9" ht="11.25" customHeight="1">
      <c r="A212" t="s">
        <v>2374</v>
      </c>
      <c r="B212" t="s">
        <v>16</v>
      </c>
      <c r="C212" t="s">
        <v>2599</v>
      </c>
      <c r="D212" t="s">
        <v>2600</v>
      </c>
      <c r="E212" t="s">
        <v>2601</v>
      </c>
      <c r="F212" t="s">
        <v>2534</v>
      </c>
      <c r="G212" t="s">
        <v>22</v>
      </c>
      <c r="H212" t="s">
        <v>22</v>
      </c>
      <c r="I212" t="s">
        <v>930</v>
      </c>
    </row>
    <row r="213" spans="1:9" ht="11.25" customHeight="1">
      <c r="A213" t="s">
        <v>2374</v>
      </c>
      <c r="B213" t="s">
        <v>16</v>
      </c>
      <c r="C213" t="s">
        <v>2602</v>
      </c>
      <c r="D213" t="s">
        <v>2603</v>
      </c>
      <c r="E213" t="s">
        <v>2604</v>
      </c>
      <c r="F213" t="s">
        <v>2605</v>
      </c>
      <c r="G213" t="s">
        <v>22</v>
      </c>
      <c r="H213" t="s">
        <v>22</v>
      </c>
      <c r="I213" t="s">
        <v>930</v>
      </c>
    </row>
    <row r="214" spans="1:9" ht="11.25" customHeight="1">
      <c r="A214" t="s">
        <v>2374</v>
      </c>
      <c r="B214" t="s">
        <v>16</v>
      </c>
      <c r="C214" t="s">
        <v>2606</v>
      </c>
      <c r="D214" t="s">
        <v>2607</v>
      </c>
      <c r="E214" t="s">
        <v>2608</v>
      </c>
      <c r="F214" t="s">
        <v>2382</v>
      </c>
      <c r="G214" t="s">
        <v>2609</v>
      </c>
      <c r="H214" t="s">
        <v>22</v>
      </c>
      <c r="I214" t="s">
        <v>930</v>
      </c>
    </row>
    <row r="215" spans="1:9" ht="11.25" customHeight="1">
      <c r="A215" t="s">
        <v>2374</v>
      </c>
      <c r="B215" t="s">
        <v>16</v>
      </c>
      <c r="C215" t="s">
        <v>2610</v>
      </c>
      <c r="D215" t="s">
        <v>2611</v>
      </c>
      <c r="E215" t="s">
        <v>2612</v>
      </c>
      <c r="F215" t="s">
        <v>2382</v>
      </c>
      <c r="G215" t="s">
        <v>22</v>
      </c>
      <c r="H215" t="s">
        <v>22</v>
      </c>
      <c r="I215" t="s">
        <v>930</v>
      </c>
    </row>
    <row r="216" spans="1:9" ht="11.25" customHeight="1">
      <c r="A216" t="s">
        <v>2374</v>
      </c>
      <c r="B216" t="s">
        <v>16</v>
      </c>
      <c r="C216" t="s">
        <v>2613</v>
      </c>
      <c r="D216" t="s">
        <v>2614</v>
      </c>
      <c r="E216" t="s">
        <v>2615</v>
      </c>
      <c r="F216" t="s">
        <v>2616</v>
      </c>
      <c r="G216" t="s">
        <v>22</v>
      </c>
      <c r="H216" t="s">
        <v>22</v>
      </c>
      <c r="I216" t="s">
        <v>930</v>
      </c>
    </row>
    <row r="217" spans="1:9" ht="11.25" customHeight="1">
      <c r="A217" t="s">
        <v>2374</v>
      </c>
      <c r="B217" t="s">
        <v>16</v>
      </c>
      <c r="C217" t="s">
        <v>2621</v>
      </c>
      <c r="D217" t="s">
        <v>2622</v>
      </c>
      <c r="E217" t="s">
        <v>2623</v>
      </c>
      <c r="F217" t="s">
        <v>2382</v>
      </c>
      <c r="G217" t="s">
        <v>2624</v>
      </c>
      <c r="H217" t="s">
        <v>22</v>
      </c>
      <c r="I217" t="s">
        <v>930</v>
      </c>
    </row>
    <row r="218" spans="1:9" ht="11.25" customHeight="1">
      <c r="A218" t="s">
        <v>2374</v>
      </c>
      <c r="B218" t="s">
        <v>16</v>
      </c>
      <c r="C218" t="s">
        <v>2628</v>
      </c>
      <c r="D218" t="s">
        <v>2629</v>
      </c>
      <c r="E218" t="s">
        <v>2630</v>
      </c>
      <c r="F218" t="s">
        <v>2432</v>
      </c>
      <c r="G218" t="s">
        <v>2631</v>
      </c>
      <c r="H218" t="s">
        <v>22</v>
      </c>
      <c r="I218" t="s">
        <v>930</v>
      </c>
    </row>
    <row r="219" spans="1:9" ht="11.25" customHeight="1">
      <c r="A219" t="s">
        <v>2374</v>
      </c>
      <c r="B219" t="s">
        <v>16</v>
      </c>
      <c r="C219" t="s">
        <v>2632</v>
      </c>
      <c r="D219" t="s">
        <v>2633</v>
      </c>
      <c r="E219" t="s">
        <v>2634</v>
      </c>
      <c r="F219" t="s">
        <v>2402</v>
      </c>
      <c r="G219" t="s">
        <v>2635</v>
      </c>
      <c r="H219" t="s">
        <v>22</v>
      </c>
      <c r="I219" t="s">
        <v>930</v>
      </c>
    </row>
    <row r="220" spans="1:9" ht="11.25" customHeight="1">
      <c r="A220" t="s">
        <v>2374</v>
      </c>
      <c r="B220" t="s">
        <v>16</v>
      </c>
      <c r="C220" t="s">
        <v>2640</v>
      </c>
      <c r="D220" t="s">
        <v>2641</v>
      </c>
      <c r="E220" t="s">
        <v>2642</v>
      </c>
      <c r="F220" t="s">
        <v>2598</v>
      </c>
      <c r="G220" t="s">
        <v>22</v>
      </c>
      <c r="H220" t="s">
        <v>22</v>
      </c>
      <c r="I220" t="s">
        <v>930</v>
      </c>
    </row>
    <row r="221" spans="1:9" ht="11.25" customHeight="1">
      <c r="A221" t="s">
        <v>2374</v>
      </c>
      <c r="B221" t="s">
        <v>16</v>
      </c>
      <c r="C221" t="s">
        <v>2688</v>
      </c>
      <c r="D221" t="s">
        <v>2689</v>
      </c>
      <c r="E221" t="s">
        <v>2377</v>
      </c>
      <c r="F221" t="s">
        <v>2690</v>
      </c>
      <c r="G221" t="s">
        <v>22</v>
      </c>
      <c r="H221" t="s">
        <v>22</v>
      </c>
      <c r="I221" t="s">
        <v>930</v>
      </c>
    </row>
    <row r="222" spans="1:9" ht="11.25" customHeight="1">
      <c r="A222" t="s">
        <v>2374</v>
      </c>
      <c r="B222" t="s">
        <v>16</v>
      </c>
      <c r="C222" t="s">
        <v>2691</v>
      </c>
      <c r="D222" t="s">
        <v>2692</v>
      </c>
      <c r="E222" t="s">
        <v>2377</v>
      </c>
      <c r="F222" t="s">
        <v>2693</v>
      </c>
      <c r="G222" t="s">
        <v>22</v>
      </c>
      <c r="H222" t="s">
        <v>22</v>
      </c>
      <c r="I222" t="s">
        <v>930</v>
      </c>
    </row>
    <row r="223" spans="1:9" ht="11.25" customHeight="1">
      <c r="A223" t="s">
        <v>2374</v>
      </c>
      <c r="B223" t="s">
        <v>16</v>
      </c>
      <c r="C223" t="s">
        <v>2694</v>
      </c>
      <c r="D223" t="s">
        <v>2695</v>
      </c>
      <c r="E223" t="s">
        <v>2377</v>
      </c>
      <c r="F223" t="s">
        <v>2696</v>
      </c>
      <c r="G223" t="s">
        <v>22</v>
      </c>
      <c r="H223" t="s">
        <v>22</v>
      </c>
      <c r="I223" t="s">
        <v>930</v>
      </c>
    </row>
    <row r="224" spans="1:9" ht="11.25" customHeight="1">
      <c r="A224" t="s">
        <v>2374</v>
      </c>
      <c r="B224" t="s">
        <v>16</v>
      </c>
      <c r="C224" t="s">
        <v>2697</v>
      </c>
      <c r="D224" t="s">
        <v>2698</v>
      </c>
      <c r="E224" t="s">
        <v>2377</v>
      </c>
      <c r="F224" t="s">
        <v>2699</v>
      </c>
      <c r="G224" t="s">
        <v>22</v>
      </c>
      <c r="H224" t="s">
        <v>22</v>
      </c>
      <c r="I224" t="s">
        <v>930</v>
      </c>
    </row>
    <row r="225" spans="1:9" ht="11.25" customHeight="1">
      <c r="A225" t="s">
        <v>2374</v>
      </c>
      <c r="B225" t="s">
        <v>16</v>
      </c>
      <c r="C225" t="s">
        <v>2700</v>
      </c>
      <c r="D225" t="s">
        <v>2701</v>
      </c>
      <c r="E225" t="s">
        <v>2377</v>
      </c>
      <c r="F225" t="s">
        <v>2702</v>
      </c>
      <c r="G225" t="s">
        <v>22</v>
      </c>
      <c r="H225" t="s">
        <v>22</v>
      </c>
      <c r="I225" t="s">
        <v>930</v>
      </c>
    </row>
    <row r="226" spans="1:9" ht="11.25" customHeight="1">
      <c r="A226" t="s">
        <v>2374</v>
      </c>
      <c r="B226" t="s">
        <v>16</v>
      </c>
      <c r="C226" t="s">
        <v>2703</v>
      </c>
      <c r="D226" t="s">
        <v>2704</v>
      </c>
      <c r="E226" t="s">
        <v>2377</v>
      </c>
      <c r="F226" t="s">
        <v>2705</v>
      </c>
      <c r="G226" t="s">
        <v>22</v>
      </c>
      <c r="H226" t="s">
        <v>22</v>
      </c>
      <c r="I226" t="s">
        <v>930</v>
      </c>
    </row>
    <row r="227" spans="1:9" ht="11.25" customHeight="1">
      <c r="A227" t="s">
        <v>2374</v>
      </c>
      <c r="B227" t="s">
        <v>16</v>
      </c>
      <c r="C227" t="s">
        <v>2709</v>
      </c>
      <c r="D227" t="s">
        <v>2710</v>
      </c>
      <c r="E227" t="s">
        <v>2377</v>
      </c>
      <c r="F227" t="s">
        <v>2711</v>
      </c>
      <c r="G227" t="s">
        <v>22</v>
      </c>
      <c r="H227" t="s">
        <v>22</v>
      </c>
      <c r="I227" t="s">
        <v>930</v>
      </c>
    </row>
    <row r="228" spans="1:9" ht="11.25" customHeight="1">
      <c r="A228" t="s">
        <v>2374</v>
      </c>
      <c r="B228" t="s">
        <v>16</v>
      </c>
      <c r="C228" t="s">
        <v>2712</v>
      </c>
      <c r="D228" t="s">
        <v>2713</v>
      </c>
      <c r="E228" t="s">
        <v>2377</v>
      </c>
      <c r="F228" t="s">
        <v>2714</v>
      </c>
      <c r="G228" t="s">
        <v>22</v>
      </c>
      <c r="H228" t="s">
        <v>22</v>
      </c>
      <c r="I228" t="s">
        <v>930</v>
      </c>
    </row>
    <row r="229" spans="1:9" ht="11.25" customHeight="1">
      <c r="A229" t="s">
        <v>2374</v>
      </c>
      <c r="B229" t="s">
        <v>16</v>
      </c>
      <c r="C229" t="s">
        <v>2715</v>
      </c>
      <c r="D229" t="s">
        <v>2716</v>
      </c>
      <c r="E229" t="s">
        <v>2717</v>
      </c>
      <c r="F229" t="s">
        <v>2718</v>
      </c>
      <c r="G229" t="s">
        <v>22</v>
      </c>
      <c r="H229" t="s">
        <v>22</v>
      </c>
      <c r="I229" t="s">
        <v>930</v>
      </c>
    </row>
    <row r="230" spans="1:9" ht="11.25" customHeight="1">
      <c r="A230" t="s">
        <v>2374</v>
      </c>
      <c r="B230" t="s">
        <v>16</v>
      </c>
      <c r="C230" t="s">
        <v>2719</v>
      </c>
      <c r="D230" t="s">
        <v>2720</v>
      </c>
      <c r="E230" t="s">
        <v>2717</v>
      </c>
      <c r="F230" t="s">
        <v>2721</v>
      </c>
      <c r="G230" t="s">
        <v>22</v>
      </c>
      <c r="H230" t="s">
        <v>22</v>
      </c>
      <c r="I230" t="s">
        <v>930</v>
      </c>
    </row>
    <row r="231" spans="1:9" ht="11.25" customHeight="1">
      <c r="A231" t="s">
        <v>2374</v>
      </c>
      <c r="B231" t="s">
        <v>16</v>
      </c>
      <c r="C231" t="s">
        <v>2722</v>
      </c>
      <c r="D231" t="s">
        <v>2723</v>
      </c>
      <c r="E231" t="s">
        <v>2717</v>
      </c>
      <c r="F231" t="s">
        <v>2724</v>
      </c>
      <c r="G231" t="s">
        <v>22</v>
      </c>
      <c r="H231" t="s">
        <v>22</v>
      </c>
      <c r="I231" t="s">
        <v>930</v>
      </c>
    </row>
    <row r="232" spans="1:9" ht="11.25" customHeight="1">
      <c r="A232" t="s">
        <v>2374</v>
      </c>
      <c r="B232" t="s">
        <v>16</v>
      </c>
      <c r="C232" t="s">
        <v>2736</v>
      </c>
      <c r="D232" t="s">
        <v>2737</v>
      </c>
      <c r="E232" t="s">
        <v>2738</v>
      </c>
      <c r="F232" t="s">
        <v>2728</v>
      </c>
      <c r="G232" t="s">
        <v>2729</v>
      </c>
      <c r="H232" t="s">
        <v>22</v>
      </c>
      <c r="I232" t="s">
        <v>930</v>
      </c>
    </row>
    <row r="233" spans="1:9" ht="11.25" customHeight="1">
      <c r="A233" t="s">
        <v>2374</v>
      </c>
      <c r="B233" t="s">
        <v>16</v>
      </c>
      <c r="C233" t="s">
        <v>2744</v>
      </c>
      <c r="D233" t="s">
        <v>2745</v>
      </c>
      <c r="E233" t="s">
        <v>2746</v>
      </c>
      <c r="F233" t="s">
        <v>2747</v>
      </c>
      <c r="G233" t="s">
        <v>22</v>
      </c>
      <c r="H233" t="s">
        <v>22</v>
      </c>
      <c r="I233" t="s">
        <v>930</v>
      </c>
    </row>
    <row r="234" spans="1:9" ht="11.25" customHeight="1">
      <c r="A234" t="s">
        <v>2374</v>
      </c>
      <c r="B234" t="s">
        <v>16</v>
      </c>
      <c r="C234" t="s">
        <v>2758</v>
      </c>
      <c r="D234" t="s">
        <v>2759</v>
      </c>
      <c r="E234" t="s">
        <v>2760</v>
      </c>
      <c r="F234" t="s">
        <v>2420</v>
      </c>
      <c r="G234" t="s">
        <v>22</v>
      </c>
      <c r="H234" t="s">
        <v>22</v>
      </c>
      <c r="I234" t="s">
        <v>930</v>
      </c>
    </row>
    <row r="235" spans="1:9" ht="11.25" customHeight="1">
      <c r="A235" t="s">
        <v>2374</v>
      </c>
      <c r="B235" t="s">
        <v>16</v>
      </c>
      <c r="C235" t="s">
        <v>2770</v>
      </c>
      <c r="D235" t="s">
        <v>2771</v>
      </c>
      <c r="E235" t="s">
        <v>2772</v>
      </c>
      <c r="F235" t="s">
        <v>2382</v>
      </c>
      <c r="G235" t="s">
        <v>2773</v>
      </c>
      <c r="H235" t="s">
        <v>22</v>
      </c>
      <c r="I235" t="s">
        <v>930</v>
      </c>
    </row>
    <row r="236" spans="1:9" ht="11.25" customHeight="1">
      <c r="A236" t="s">
        <v>2374</v>
      </c>
      <c r="B236" t="s">
        <v>16</v>
      </c>
      <c r="C236" t="s">
        <v>2798</v>
      </c>
      <c r="D236" t="s">
        <v>2799</v>
      </c>
      <c r="E236" t="s">
        <v>2800</v>
      </c>
      <c r="F236" t="s">
        <v>2777</v>
      </c>
      <c r="G236" t="s">
        <v>22</v>
      </c>
      <c r="H236" t="s">
        <v>22</v>
      </c>
      <c r="I236" t="s">
        <v>930</v>
      </c>
    </row>
    <row r="237" spans="1:9" ht="11.25" customHeight="1">
      <c r="A237" t="s">
        <v>2374</v>
      </c>
      <c r="B237" t="s">
        <v>16</v>
      </c>
      <c r="C237" t="s">
        <v>2815</v>
      </c>
      <c r="D237" t="s">
        <v>2816</v>
      </c>
      <c r="E237" t="s">
        <v>2817</v>
      </c>
      <c r="F237" t="s">
        <v>2818</v>
      </c>
      <c r="G237" t="s">
        <v>2819</v>
      </c>
      <c r="H237" t="s">
        <v>22</v>
      </c>
      <c r="I237" t="s">
        <v>930</v>
      </c>
    </row>
    <row r="238" spans="1:9" ht="11.25" customHeight="1">
      <c r="A238" t="s">
        <v>2374</v>
      </c>
      <c r="B238" t="s">
        <v>16</v>
      </c>
      <c r="C238" t="s">
        <v>2820</v>
      </c>
      <c r="D238" t="s">
        <v>2821</v>
      </c>
      <c r="E238" t="s">
        <v>2822</v>
      </c>
      <c r="F238" t="s">
        <v>2777</v>
      </c>
      <c r="G238" t="s">
        <v>22</v>
      </c>
      <c r="H238" t="s">
        <v>22</v>
      </c>
      <c r="I238" t="s">
        <v>930</v>
      </c>
    </row>
    <row r="239" spans="1:9" ht="11.25" customHeight="1">
      <c r="A239" t="s">
        <v>2374</v>
      </c>
      <c r="B239" t="s">
        <v>16</v>
      </c>
      <c r="C239" t="s">
        <v>2833</v>
      </c>
      <c r="D239" t="s">
        <v>2834</v>
      </c>
      <c r="E239" t="s">
        <v>2377</v>
      </c>
      <c r="F239" t="s">
        <v>2835</v>
      </c>
      <c r="G239" t="s">
        <v>22</v>
      </c>
      <c r="H239" t="s">
        <v>22</v>
      </c>
      <c r="I239" t="s">
        <v>930</v>
      </c>
    </row>
    <row r="240" spans="1:9" ht="11.25" customHeight="1">
      <c r="A240" t="s">
        <v>2374</v>
      </c>
      <c r="B240" t="s">
        <v>16</v>
      </c>
      <c r="C240" t="s">
        <v>2866</v>
      </c>
      <c r="D240" t="s">
        <v>2867</v>
      </c>
      <c r="E240" t="s">
        <v>2405</v>
      </c>
      <c r="F240" t="s">
        <v>2868</v>
      </c>
      <c r="G240" t="s">
        <v>22</v>
      </c>
      <c r="H240" t="s">
        <v>22</v>
      </c>
      <c r="I240" t="s">
        <v>930</v>
      </c>
    </row>
    <row r="241" spans="1:9" ht="11.25" customHeight="1">
      <c r="A241" t="s">
        <v>2374</v>
      </c>
      <c r="B241" t="s">
        <v>16</v>
      </c>
      <c r="C241" t="s">
        <v>2869</v>
      </c>
      <c r="D241" t="s">
        <v>2870</v>
      </c>
      <c r="E241" t="s">
        <v>2871</v>
      </c>
      <c r="F241" t="s">
        <v>2432</v>
      </c>
      <c r="G241" t="s">
        <v>22</v>
      </c>
      <c r="H241" t="s">
        <v>22</v>
      </c>
      <c r="I241" t="s">
        <v>930</v>
      </c>
    </row>
    <row r="242" spans="1:9" ht="11.25" customHeight="1">
      <c r="A242" t="s">
        <v>2374</v>
      </c>
      <c r="B242" t="s">
        <v>16</v>
      </c>
      <c r="C242" t="s">
        <v>2894</v>
      </c>
      <c r="D242" t="s">
        <v>2895</v>
      </c>
      <c r="E242" t="s">
        <v>2896</v>
      </c>
      <c r="F242" t="s">
        <v>2534</v>
      </c>
      <c r="G242" t="s">
        <v>2897</v>
      </c>
      <c r="H242" t="s">
        <v>22</v>
      </c>
      <c r="I242" t="s">
        <v>930</v>
      </c>
    </row>
    <row r="243" spans="1:9" ht="11.25" customHeight="1">
      <c r="A243" t="s">
        <v>2374</v>
      </c>
      <c r="B243" t="s">
        <v>16</v>
      </c>
      <c r="C243" t="s">
        <v>2906</v>
      </c>
      <c r="D243" t="s">
        <v>2907</v>
      </c>
      <c r="E243" t="s">
        <v>2908</v>
      </c>
      <c r="F243" t="s">
        <v>2432</v>
      </c>
      <c r="G243" t="s">
        <v>2909</v>
      </c>
      <c r="H243" t="s">
        <v>22</v>
      </c>
      <c r="I243" t="s">
        <v>930</v>
      </c>
    </row>
    <row r="244" spans="1:9" ht="11.25" customHeight="1">
      <c r="A244" t="s">
        <v>2374</v>
      </c>
      <c r="B244" t="s">
        <v>16</v>
      </c>
      <c r="C244" t="s">
        <v>2941</v>
      </c>
      <c r="D244" t="s">
        <v>2942</v>
      </c>
      <c r="E244" t="s">
        <v>2943</v>
      </c>
      <c r="F244" t="s">
        <v>2468</v>
      </c>
      <c r="G244" t="s">
        <v>2944</v>
      </c>
      <c r="H244" t="s">
        <v>22</v>
      </c>
      <c r="I244" t="s">
        <v>930</v>
      </c>
    </row>
    <row r="245" spans="1:9" ht="11.25" customHeight="1">
      <c r="A245" t="s">
        <v>2374</v>
      </c>
      <c r="B245" t="s">
        <v>16</v>
      </c>
      <c r="C245" t="s">
        <v>2953</v>
      </c>
      <c r="D245" t="s">
        <v>2954</v>
      </c>
      <c r="E245" t="s">
        <v>2955</v>
      </c>
      <c r="F245" t="s">
        <v>2777</v>
      </c>
      <c r="G245" t="s">
        <v>2956</v>
      </c>
      <c r="H245" t="s">
        <v>22</v>
      </c>
      <c r="I245" t="s">
        <v>930</v>
      </c>
    </row>
    <row r="246" spans="1:9" ht="11.25" customHeight="1">
      <c r="A246" t="s">
        <v>2374</v>
      </c>
      <c r="B246" t="s">
        <v>16</v>
      </c>
      <c r="C246" t="s">
        <v>22</v>
      </c>
      <c r="D246" t="s">
        <v>2964</v>
      </c>
      <c r="E246" t="s">
        <v>2965</v>
      </c>
      <c r="F246" t="s">
        <v>2456</v>
      </c>
      <c r="G246" t="s">
        <v>22</v>
      </c>
      <c r="H246" t="s">
        <v>22</v>
      </c>
      <c r="I246" t="s">
        <v>930</v>
      </c>
    </row>
    <row r="247" spans="1:9" ht="11.25" customHeight="1">
      <c r="A247" t="s">
        <v>2374</v>
      </c>
      <c r="B247" t="s">
        <v>16</v>
      </c>
      <c r="C247" t="s">
        <v>22</v>
      </c>
      <c r="D247" t="s">
        <v>2966</v>
      </c>
      <c r="E247" t="s">
        <v>2967</v>
      </c>
      <c r="F247" t="s">
        <v>2444</v>
      </c>
      <c r="G247" t="s">
        <v>22</v>
      </c>
      <c r="H247" t="s">
        <v>22</v>
      </c>
      <c r="I247" t="s">
        <v>930</v>
      </c>
    </row>
    <row r="248" spans="1:9" ht="11.25" customHeight="1">
      <c r="A248" t="s">
        <v>2374</v>
      </c>
      <c r="B248" t="s">
        <v>16</v>
      </c>
      <c r="C248" t="s">
        <v>2968</v>
      </c>
      <c r="D248" t="s">
        <v>2969</v>
      </c>
      <c r="E248" t="s">
        <v>2970</v>
      </c>
      <c r="F248" t="s">
        <v>51</v>
      </c>
      <c r="G248" t="s">
        <v>22</v>
      </c>
      <c r="H248" t="s">
        <v>22</v>
      </c>
      <c r="I248" t="s">
        <v>930</v>
      </c>
    </row>
    <row r="249" spans="1:9" ht="11.25" customHeight="1">
      <c r="A249" t="s">
        <v>2374</v>
      </c>
      <c r="B249" t="s">
        <v>16</v>
      </c>
      <c r="C249" t="s">
        <v>2977</v>
      </c>
      <c r="D249" t="s">
        <v>2978</v>
      </c>
      <c r="E249" t="s">
        <v>2979</v>
      </c>
      <c r="F249" t="s">
        <v>51</v>
      </c>
      <c r="G249" t="s">
        <v>22</v>
      </c>
      <c r="H249" t="s">
        <v>22</v>
      </c>
      <c r="I249" t="s">
        <v>930</v>
      </c>
    </row>
    <row r="250" spans="1:9" ht="11.25" customHeight="1">
      <c r="A250" t="s">
        <v>2374</v>
      </c>
      <c r="B250" t="s">
        <v>16</v>
      </c>
      <c r="C250" t="s">
        <v>2997</v>
      </c>
      <c r="D250" t="s">
        <v>2998</v>
      </c>
      <c r="E250" t="s">
        <v>2428</v>
      </c>
      <c r="F250" t="s">
        <v>2999</v>
      </c>
      <c r="G250" t="s">
        <v>22</v>
      </c>
      <c r="H250" t="s">
        <v>22</v>
      </c>
      <c r="I250" t="s">
        <v>930</v>
      </c>
    </row>
    <row r="251" spans="1:9" ht="11.25" customHeight="1">
      <c r="A251" t="s">
        <v>2374</v>
      </c>
      <c r="B251" t="s">
        <v>16</v>
      </c>
      <c r="C251" t="s">
        <v>3000</v>
      </c>
      <c r="D251" t="s">
        <v>3001</v>
      </c>
      <c r="E251" t="s">
        <v>2738</v>
      </c>
      <c r="F251" t="s">
        <v>3002</v>
      </c>
      <c r="G251" t="s">
        <v>22</v>
      </c>
      <c r="H251" t="s">
        <v>22</v>
      </c>
      <c r="I251" t="s">
        <v>930</v>
      </c>
    </row>
    <row r="252" spans="1:9" ht="11.25" customHeight="1">
      <c r="A252" t="s">
        <v>2374</v>
      </c>
      <c r="B252" t="s">
        <v>16</v>
      </c>
      <c r="C252" t="s">
        <v>3013</v>
      </c>
      <c r="D252" t="s">
        <v>3014</v>
      </c>
      <c r="E252" t="s">
        <v>3015</v>
      </c>
      <c r="F252" t="s">
        <v>2616</v>
      </c>
      <c r="G252" t="s">
        <v>22</v>
      </c>
      <c r="H252" t="s">
        <v>22</v>
      </c>
      <c r="I252" t="s">
        <v>930</v>
      </c>
    </row>
    <row r="253" spans="1:9" ht="11.25" customHeight="1">
      <c r="A253" t="s">
        <v>2374</v>
      </c>
      <c r="B253" t="s">
        <v>16</v>
      </c>
      <c r="C253" t="s">
        <v>3016</v>
      </c>
      <c r="D253" t="s">
        <v>3017</v>
      </c>
      <c r="E253" t="s">
        <v>3018</v>
      </c>
      <c r="F253" t="s">
        <v>2456</v>
      </c>
      <c r="G253" t="s">
        <v>22</v>
      </c>
      <c r="H253" t="s">
        <v>22</v>
      </c>
      <c r="I253" t="s">
        <v>930</v>
      </c>
    </row>
    <row r="254" spans="1:9" ht="11.25" customHeight="1">
      <c r="A254" t="s">
        <v>2374</v>
      </c>
      <c r="B254" t="s">
        <v>16</v>
      </c>
      <c r="C254" t="s">
        <v>2379</v>
      </c>
      <c r="D254" t="s">
        <v>2380</v>
      </c>
      <c r="E254" t="s">
        <v>2381</v>
      </c>
      <c r="F254" t="s">
        <v>2382</v>
      </c>
      <c r="G254" t="s">
        <v>22</v>
      </c>
      <c r="H254" t="s">
        <v>22</v>
      </c>
      <c r="I254" t="s">
        <v>888</v>
      </c>
    </row>
    <row r="255" spans="1:9" ht="11.25" customHeight="1">
      <c r="A255" t="s">
        <v>2374</v>
      </c>
      <c r="B255" t="s">
        <v>16</v>
      </c>
      <c r="C255" t="s">
        <v>2383</v>
      </c>
      <c r="D255" t="s">
        <v>2384</v>
      </c>
      <c r="E255" t="s">
        <v>2385</v>
      </c>
      <c r="F255" t="s">
        <v>2386</v>
      </c>
      <c r="G255" t="s">
        <v>22</v>
      </c>
      <c r="H255" t="s">
        <v>22</v>
      </c>
      <c r="I255" t="s">
        <v>888</v>
      </c>
    </row>
    <row r="256" spans="1:9" ht="11.25" customHeight="1">
      <c r="A256" t="s">
        <v>2374</v>
      </c>
      <c r="B256" t="s">
        <v>16</v>
      </c>
      <c r="C256" t="s">
        <v>2394</v>
      </c>
      <c r="D256" t="s">
        <v>2395</v>
      </c>
      <c r="E256" t="s">
        <v>2396</v>
      </c>
      <c r="F256" t="s">
        <v>2397</v>
      </c>
      <c r="G256" t="s">
        <v>2398</v>
      </c>
      <c r="H256" t="s">
        <v>22</v>
      </c>
      <c r="I256" t="s">
        <v>888</v>
      </c>
    </row>
    <row r="257" spans="1:9" ht="11.25" customHeight="1">
      <c r="A257" t="s">
        <v>2374</v>
      </c>
      <c r="B257" t="s">
        <v>16</v>
      </c>
      <c r="C257" t="s">
        <v>3022</v>
      </c>
      <c r="D257" t="s">
        <v>3023</v>
      </c>
      <c r="E257" t="s">
        <v>3024</v>
      </c>
      <c r="F257" t="s">
        <v>2440</v>
      </c>
      <c r="G257" t="s">
        <v>3025</v>
      </c>
      <c r="H257" t="s">
        <v>22</v>
      </c>
      <c r="I257" t="s">
        <v>888</v>
      </c>
    </row>
    <row r="258" spans="1:9" ht="11.25" customHeight="1">
      <c r="A258" t="s">
        <v>2374</v>
      </c>
      <c r="B258" t="s">
        <v>16</v>
      </c>
      <c r="C258" t="s">
        <v>3026</v>
      </c>
      <c r="D258" t="s">
        <v>2404</v>
      </c>
      <c r="E258" t="s">
        <v>2405</v>
      </c>
      <c r="F258" t="s">
        <v>3027</v>
      </c>
      <c r="G258" t="s">
        <v>3028</v>
      </c>
      <c r="H258" t="s">
        <v>22</v>
      </c>
      <c r="I258" t="s">
        <v>888</v>
      </c>
    </row>
    <row r="259" spans="1:9" ht="11.25" customHeight="1">
      <c r="A259" t="s">
        <v>2374</v>
      </c>
      <c r="B259" t="s">
        <v>16</v>
      </c>
      <c r="C259" t="s">
        <v>2403</v>
      </c>
      <c r="D259" t="s">
        <v>2404</v>
      </c>
      <c r="E259" t="s">
        <v>2405</v>
      </c>
      <c r="F259" t="s">
        <v>2406</v>
      </c>
      <c r="G259" t="s">
        <v>22</v>
      </c>
      <c r="H259" t="s">
        <v>22</v>
      </c>
      <c r="I259" t="s">
        <v>888</v>
      </c>
    </row>
    <row r="260" spans="1:9" ht="11.25" customHeight="1">
      <c r="A260" t="s">
        <v>2374</v>
      </c>
      <c r="B260" t="s">
        <v>16</v>
      </c>
      <c r="C260" t="s">
        <v>2407</v>
      </c>
      <c r="D260" t="s">
        <v>2408</v>
      </c>
      <c r="E260" t="s">
        <v>2409</v>
      </c>
      <c r="F260" t="s">
        <v>2410</v>
      </c>
      <c r="G260" t="s">
        <v>2411</v>
      </c>
      <c r="H260" t="s">
        <v>22</v>
      </c>
      <c r="I260" t="s">
        <v>888</v>
      </c>
    </row>
    <row r="261" spans="1:9" ht="11.25" customHeight="1">
      <c r="A261" t="s">
        <v>2374</v>
      </c>
      <c r="B261" t="s">
        <v>16</v>
      </c>
      <c r="C261" t="s">
        <v>2421</v>
      </c>
      <c r="D261" t="s">
        <v>2422</v>
      </c>
      <c r="E261" t="s">
        <v>2423</v>
      </c>
      <c r="F261" t="s">
        <v>2424</v>
      </c>
      <c r="G261" t="s">
        <v>2425</v>
      </c>
      <c r="H261" t="s">
        <v>22</v>
      </c>
      <c r="I261" t="s">
        <v>888</v>
      </c>
    </row>
    <row r="262" spans="1:9" ht="11.25" customHeight="1">
      <c r="A262" t="s">
        <v>2374</v>
      </c>
      <c r="B262" t="s">
        <v>16</v>
      </c>
      <c r="C262" t="s">
        <v>2426</v>
      </c>
      <c r="D262" t="s">
        <v>2427</v>
      </c>
      <c r="E262" t="s">
        <v>2428</v>
      </c>
      <c r="F262" t="s">
        <v>2410</v>
      </c>
      <c r="G262" t="s">
        <v>22</v>
      </c>
      <c r="H262" t="s">
        <v>22</v>
      </c>
      <c r="I262" t="s">
        <v>888</v>
      </c>
    </row>
    <row r="263" spans="1:9" ht="11.25" customHeight="1">
      <c r="A263" t="s">
        <v>2374</v>
      </c>
      <c r="B263" t="s">
        <v>16</v>
      </c>
      <c r="C263" t="s">
        <v>2429</v>
      </c>
      <c r="D263" t="s">
        <v>2430</v>
      </c>
      <c r="E263" t="s">
        <v>2431</v>
      </c>
      <c r="F263" t="s">
        <v>2432</v>
      </c>
      <c r="G263" t="s">
        <v>22</v>
      </c>
      <c r="H263" t="s">
        <v>22</v>
      </c>
      <c r="I263" t="s">
        <v>888</v>
      </c>
    </row>
    <row r="264" spans="1:9" ht="11.25" customHeight="1">
      <c r="A264" t="s">
        <v>2374</v>
      </c>
      <c r="B264" t="s">
        <v>16</v>
      </c>
      <c r="C264" t="s">
        <v>3029</v>
      </c>
      <c r="D264" t="s">
        <v>3030</v>
      </c>
      <c r="E264" t="s">
        <v>3031</v>
      </c>
      <c r="F264" t="s">
        <v>2539</v>
      </c>
      <c r="G264" t="s">
        <v>3032</v>
      </c>
      <c r="H264" t="s">
        <v>22</v>
      </c>
      <c r="I264" t="s">
        <v>888</v>
      </c>
    </row>
    <row r="265" spans="1:9" ht="11.25" customHeight="1">
      <c r="A265" t="s">
        <v>2374</v>
      </c>
      <c r="B265" t="s">
        <v>16</v>
      </c>
      <c r="C265" t="s">
        <v>3033</v>
      </c>
      <c r="D265" t="s">
        <v>3034</v>
      </c>
      <c r="E265" t="s">
        <v>3035</v>
      </c>
      <c r="F265" t="s">
        <v>2448</v>
      </c>
      <c r="G265" t="s">
        <v>22</v>
      </c>
      <c r="H265" t="s">
        <v>22</v>
      </c>
      <c r="I265" t="s">
        <v>888</v>
      </c>
    </row>
    <row r="266" spans="1:9" ht="11.25" customHeight="1">
      <c r="A266" t="s">
        <v>2374</v>
      </c>
      <c r="B266" t="s">
        <v>16</v>
      </c>
      <c r="C266" t="s">
        <v>2449</v>
      </c>
      <c r="D266" t="s">
        <v>2450</v>
      </c>
      <c r="E266" t="s">
        <v>2451</v>
      </c>
      <c r="F266" t="s">
        <v>2402</v>
      </c>
      <c r="G266" t="s">
        <v>2452</v>
      </c>
      <c r="H266" t="s">
        <v>22</v>
      </c>
      <c r="I266" t="s">
        <v>888</v>
      </c>
    </row>
    <row r="267" spans="1:9" ht="11.25" customHeight="1">
      <c r="A267" t="s">
        <v>2374</v>
      </c>
      <c r="B267" t="s">
        <v>16</v>
      </c>
      <c r="C267" t="s">
        <v>2458</v>
      </c>
      <c r="D267" t="s">
        <v>2459</v>
      </c>
      <c r="E267" t="s">
        <v>2460</v>
      </c>
      <c r="F267" t="s">
        <v>2456</v>
      </c>
      <c r="G267" t="s">
        <v>22</v>
      </c>
      <c r="H267" t="s">
        <v>22</v>
      </c>
      <c r="I267" t="s">
        <v>888</v>
      </c>
    </row>
    <row r="268" spans="1:9" ht="11.25" customHeight="1">
      <c r="A268" t="s">
        <v>2374</v>
      </c>
      <c r="B268" t="s">
        <v>16</v>
      </c>
      <c r="C268" t="s">
        <v>2461</v>
      </c>
      <c r="D268" t="s">
        <v>2462</v>
      </c>
      <c r="E268" t="s">
        <v>2463</v>
      </c>
      <c r="F268" t="s">
        <v>51</v>
      </c>
      <c r="G268" t="s">
        <v>2464</v>
      </c>
      <c r="H268" t="s">
        <v>22</v>
      </c>
      <c r="I268" t="s">
        <v>888</v>
      </c>
    </row>
    <row r="269" spans="1:9" ht="11.25" customHeight="1">
      <c r="A269" t="s">
        <v>2374</v>
      </c>
      <c r="B269" t="s">
        <v>16</v>
      </c>
      <c r="C269" t="s">
        <v>2481</v>
      </c>
      <c r="D269" t="s">
        <v>2482</v>
      </c>
      <c r="E269" t="s">
        <v>2483</v>
      </c>
      <c r="F269" t="s">
        <v>2484</v>
      </c>
      <c r="G269" t="s">
        <v>2485</v>
      </c>
      <c r="H269" t="s">
        <v>22</v>
      </c>
      <c r="I269" t="s">
        <v>888</v>
      </c>
    </row>
    <row r="270" spans="1:9" ht="11.25" customHeight="1">
      <c r="A270" t="s">
        <v>2374</v>
      </c>
      <c r="B270" t="s">
        <v>16</v>
      </c>
      <c r="C270" t="s">
        <v>2501</v>
      </c>
      <c r="D270" t="s">
        <v>2502</v>
      </c>
      <c r="E270" t="s">
        <v>2503</v>
      </c>
      <c r="F270" t="s">
        <v>2504</v>
      </c>
      <c r="G270" t="s">
        <v>2505</v>
      </c>
      <c r="H270" t="s">
        <v>22</v>
      </c>
      <c r="I270" t="s">
        <v>888</v>
      </c>
    </row>
    <row r="271" spans="1:9" ht="11.25" customHeight="1">
      <c r="A271" t="s">
        <v>2374</v>
      </c>
      <c r="B271" t="s">
        <v>16</v>
      </c>
      <c r="C271" t="s">
        <v>3036</v>
      </c>
      <c r="D271" t="s">
        <v>3037</v>
      </c>
      <c r="E271" t="s">
        <v>2467</v>
      </c>
      <c r="F271" t="s">
        <v>2410</v>
      </c>
      <c r="G271" t="s">
        <v>3038</v>
      </c>
      <c r="H271" t="s">
        <v>22</v>
      </c>
      <c r="I271" t="s">
        <v>888</v>
      </c>
    </row>
    <row r="272" spans="1:9" ht="11.25" customHeight="1">
      <c r="A272" t="s">
        <v>2374</v>
      </c>
      <c r="B272" t="s">
        <v>16</v>
      </c>
      <c r="C272" t="s">
        <v>2519</v>
      </c>
      <c r="D272" t="s">
        <v>2520</v>
      </c>
      <c r="E272" t="s">
        <v>2521</v>
      </c>
      <c r="F272" t="s">
        <v>2522</v>
      </c>
      <c r="G272" t="s">
        <v>22</v>
      </c>
      <c r="H272" t="s">
        <v>22</v>
      </c>
      <c r="I272" t="s">
        <v>888</v>
      </c>
    </row>
    <row r="273" spans="1:9" ht="11.25" customHeight="1">
      <c r="A273" t="s">
        <v>2374</v>
      </c>
      <c r="B273" t="s">
        <v>16</v>
      </c>
      <c r="C273" t="s">
        <v>2531</v>
      </c>
      <c r="D273" t="s">
        <v>2532</v>
      </c>
      <c r="E273" t="s">
        <v>2533</v>
      </c>
      <c r="F273" t="s">
        <v>2534</v>
      </c>
      <c r="G273" t="s">
        <v>2535</v>
      </c>
      <c r="H273" t="s">
        <v>22</v>
      </c>
      <c r="I273" t="s">
        <v>888</v>
      </c>
    </row>
    <row r="274" spans="1:9" ht="11.25" customHeight="1">
      <c r="A274" t="s">
        <v>2374</v>
      </c>
      <c r="B274" t="s">
        <v>16</v>
      </c>
      <c r="C274" t="s">
        <v>2540</v>
      </c>
      <c r="D274" t="s">
        <v>2541</v>
      </c>
      <c r="E274" t="s">
        <v>2542</v>
      </c>
      <c r="F274" t="s">
        <v>2534</v>
      </c>
      <c r="G274" t="s">
        <v>2543</v>
      </c>
      <c r="H274" t="s">
        <v>22</v>
      </c>
      <c r="I274" t="s">
        <v>888</v>
      </c>
    </row>
    <row r="275" spans="1:9" ht="11.25" customHeight="1">
      <c r="A275" t="s">
        <v>2374</v>
      </c>
      <c r="B275" t="s">
        <v>16</v>
      </c>
      <c r="C275" t="s">
        <v>3039</v>
      </c>
      <c r="D275" t="s">
        <v>3040</v>
      </c>
      <c r="E275" t="s">
        <v>3041</v>
      </c>
      <c r="F275" t="s">
        <v>2456</v>
      </c>
      <c r="G275" t="s">
        <v>22</v>
      </c>
      <c r="H275" t="s">
        <v>22</v>
      </c>
      <c r="I275" t="s">
        <v>888</v>
      </c>
    </row>
    <row r="276" spans="1:9" ht="11.25" customHeight="1">
      <c r="A276" t="s">
        <v>2374</v>
      </c>
      <c r="B276" t="s">
        <v>16</v>
      </c>
      <c r="C276" t="s">
        <v>2544</v>
      </c>
      <c r="D276" t="s">
        <v>2545</v>
      </c>
      <c r="E276" t="s">
        <v>2546</v>
      </c>
      <c r="F276" t="s">
        <v>2397</v>
      </c>
      <c r="G276" t="s">
        <v>22</v>
      </c>
      <c r="H276" t="s">
        <v>22</v>
      </c>
      <c r="I276" t="s">
        <v>888</v>
      </c>
    </row>
    <row r="277" spans="1:9" ht="11.25" customHeight="1">
      <c r="A277" t="s">
        <v>2374</v>
      </c>
      <c r="B277" t="s">
        <v>16</v>
      </c>
      <c r="C277" t="s">
        <v>2547</v>
      </c>
      <c r="D277" t="s">
        <v>2548</v>
      </c>
      <c r="E277" t="s">
        <v>2549</v>
      </c>
      <c r="F277" t="s">
        <v>2397</v>
      </c>
      <c r="G277" t="s">
        <v>22</v>
      </c>
      <c r="H277" t="s">
        <v>22</v>
      </c>
      <c r="I277" t="s">
        <v>888</v>
      </c>
    </row>
    <row r="278" spans="1:9" ht="11.25" customHeight="1">
      <c r="A278" t="s">
        <v>2374</v>
      </c>
      <c r="B278" t="s">
        <v>16</v>
      </c>
      <c r="C278" t="s">
        <v>2550</v>
      </c>
      <c r="D278" t="s">
        <v>2551</v>
      </c>
      <c r="E278" t="s">
        <v>2552</v>
      </c>
      <c r="F278" t="s">
        <v>2424</v>
      </c>
      <c r="G278" t="s">
        <v>22</v>
      </c>
      <c r="H278" t="s">
        <v>22</v>
      </c>
      <c r="I278" t="s">
        <v>888</v>
      </c>
    </row>
    <row r="279" spans="1:9" ht="11.25" customHeight="1">
      <c r="A279" t="s">
        <v>2374</v>
      </c>
      <c r="B279" t="s">
        <v>16</v>
      </c>
      <c r="C279" t="s">
        <v>2553</v>
      </c>
      <c r="D279" t="s">
        <v>2554</v>
      </c>
      <c r="E279" t="s">
        <v>2555</v>
      </c>
      <c r="F279" t="s">
        <v>2556</v>
      </c>
      <c r="G279" t="s">
        <v>2557</v>
      </c>
      <c r="H279" t="s">
        <v>22</v>
      </c>
      <c r="I279" t="s">
        <v>888</v>
      </c>
    </row>
    <row r="280" spans="1:9" ht="11.25" customHeight="1">
      <c r="A280" t="s">
        <v>2374</v>
      </c>
      <c r="B280" t="s">
        <v>16</v>
      </c>
      <c r="C280" t="s">
        <v>2558</v>
      </c>
      <c r="D280" t="s">
        <v>2559</v>
      </c>
      <c r="E280" t="s">
        <v>2560</v>
      </c>
      <c r="F280" t="s">
        <v>2556</v>
      </c>
      <c r="G280" t="s">
        <v>2561</v>
      </c>
      <c r="H280" t="s">
        <v>22</v>
      </c>
      <c r="I280" t="s">
        <v>888</v>
      </c>
    </row>
    <row r="281" spans="1:9" ht="11.25" customHeight="1">
      <c r="A281" t="s">
        <v>2374</v>
      </c>
      <c r="B281" t="s">
        <v>16</v>
      </c>
      <c r="C281" t="s">
        <v>2565</v>
      </c>
      <c r="D281" t="s">
        <v>2566</v>
      </c>
      <c r="E281" t="s">
        <v>2567</v>
      </c>
      <c r="F281" t="s">
        <v>2432</v>
      </c>
      <c r="G281" t="s">
        <v>22</v>
      </c>
      <c r="H281" t="s">
        <v>22</v>
      </c>
      <c r="I281" t="s">
        <v>888</v>
      </c>
    </row>
    <row r="282" spans="1:9" ht="11.25" customHeight="1">
      <c r="A282" t="s">
        <v>2374</v>
      </c>
      <c r="B282" t="s">
        <v>16</v>
      </c>
      <c r="C282" t="s">
        <v>2568</v>
      </c>
      <c r="D282" t="s">
        <v>2569</v>
      </c>
      <c r="E282" t="s">
        <v>2570</v>
      </c>
      <c r="F282" t="s">
        <v>2424</v>
      </c>
      <c r="G282" t="s">
        <v>2571</v>
      </c>
      <c r="H282" t="s">
        <v>22</v>
      </c>
      <c r="I282" t="s">
        <v>888</v>
      </c>
    </row>
    <row r="283" spans="1:9" ht="11.25" customHeight="1">
      <c r="A283" t="s">
        <v>2374</v>
      </c>
      <c r="B283" t="s">
        <v>16</v>
      </c>
      <c r="C283" t="s">
        <v>2572</v>
      </c>
      <c r="D283" t="s">
        <v>2573</v>
      </c>
      <c r="E283" t="s">
        <v>2574</v>
      </c>
      <c r="F283" t="s">
        <v>2424</v>
      </c>
      <c r="G283" t="s">
        <v>2575</v>
      </c>
      <c r="H283" t="s">
        <v>22</v>
      </c>
      <c r="I283" t="s">
        <v>888</v>
      </c>
    </row>
    <row r="284" spans="1:9" ht="11.25" customHeight="1">
      <c r="A284" t="s">
        <v>2374</v>
      </c>
      <c r="B284" t="s">
        <v>16</v>
      </c>
      <c r="C284" t="s">
        <v>2584</v>
      </c>
      <c r="D284" t="s">
        <v>2585</v>
      </c>
      <c r="E284" t="s">
        <v>2586</v>
      </c>
      <c r="F284" t="s">
        <v>2410</v>
      </c>
      <c r="G284" t="s">
        <v>2587</v>
      </c>
      <c r="H284" t="s">
        <v>22</v>
      </c>
      <c r="I284" t="s">
        <v>888</v>
      </c>
    </row>
    <row r="285" spans="1:9" ht="11.25" customHeight="1">
      <c r="A285" t="s">
        <v>2374</v>
      </c>
      <c r="B285" t="s">
        <v>16</v>
      </c>
      <c r="C285" t="s">
        <v>2588</v>
      </c>
      <c r="D285" t="s">
        <v>2589</v>
      </c>
      <c r="E285" t="s">
        <v>2590</v>
      </c>
      <c r="F285" t="s">
        <v>2591</v>
      </c>
      <c r="G285" t="s">
        <v>22</v>
      </c>
      <c r="H285" t="s">
        <v>22</v>
      </c>
      <c r="I285" t="s">
        <v>888</v>
      </c>
    </row>
    <row r="286" spans="1:9" ht="11.25" customHeight="1">
      <c r="A286" t="s">
        <v>2374</v>
      </c>
      <c r="B286" t="s">
        <v>16</v>
      </c>
      <c r="C286" t="s">
        <v>2592</v>
      </c>
      <c r="D286" t="s">
        <v>2593</v>
      </c>
      <c r="E286" t="s">
        <v>2594</v>
      </c>
      <c r="F286" t="s">
        <v>2534</v>
      </c>
      <c r="G286" t="s">
        <v>22</v>
      </c>
      <c r="H286" t="s">
        <v>22</v>
      </c>
      <c r="I286" t="s">
        <v>888</v>
      </c>
    </row>
    <row r="287" spans="1:9" ht="11.25" customHeight="1">
      <c r="A287" t="s">
        <v>2374</v>
      </c>
      <c r="B287" t="s">
        <v>16</v>
      </c>
      <c r="C287" t="s">
        <v>2595</v>
      </c>
      <c r="D287" t="s">
        <v>2596</v>
      </c>
      <c r="E287" t="s">
        <v>2597</v>
      </c>
      <c r="F287" t="s">
        <v>2598</v>
      </c>
      <c r="G287" t="s">
        <v>22</v>
      </c>
      <c r="H287" t="s">
        <v>22</v>
      </c>
      <c r="I287" t="s">
        <v>888</v>
      </c>
    </row>
    <row r="288" spans="1:9" ht="11.25" customHeight="1">
      <c r="A288" t="s">
        <v>2374</v>
      </c>
      <c r="B288" t="s">
        <v>16</v>
      </c>
      <c r="C288" t="s">
        <v>2599</v>
      </c>
      <c r="D288" t="s">
        <v>2600</v>
      </c>
      <c r="E288" t="s">
        <v>2601</v>
      </c>
      <c r="F288" t="s">
        <v>2534</v>
      </c>
      <c r="G288" t="s">
        <v>22</v>
      </c>
      <c r="H288" t="s">
        <v>22</v>
      </c>
      <c r="I288" t="s">
        <v>888</v>
      </c>
    </row>
    <row r="289" spans="1:9" ht="11.25" customHeight="1">
      <c r="A289" t="s">
        <v>2374</v>
      </c>
      <c r="B289" t="s">
        <v>16</v>
      </c>
      <c r="C289" t="s">
        <v>2602</v>
      </c>
      <c r="D289" t="s">
        <v>2603</v>
      </c>
      <c r="E289" t="s">
        <v>2604</v>
      </c>
      <c r="F289" t="s">
        <v>2605</v>
      </c>
      <c r="G289" t="s">
        <v>22</v>
      </c>
      <c r="H289" t="s">
        <v>22</v>
      </c>
      <c r="I289" t="s">
        <v>888</v>
      </c>
    </row>
    <row r="290" spans="1:9" ht="11.25" customHeight="1">
      <c r="A290" t="s">
        <v>2374</v>
      </c>
      <c r="B290" t="s">
        <v>16</v>
      </c>
      <c r="C290" t="s">
        <v>2606</v>
      </c>
      <c r="D290" t="s">
        <v>2607</v>
      </c>
      <c r="E290" t="s">
        <v>2608</v>
      </c>
      <c r="F290" t="s">
        <v>2382</v>
      </c>
      <c r="G290" t="s">
        <v>2609</v>
      </c>
      <c r="H290" t="s">
        <v>22</v>
      </c>
      <c r="I290" t="s">
        <v>888</v>
      </c>
    </row>
    <row r="291" spans="1:9" ht="11.25" customHeight="1">
      <c r="A291" t="s">
        <v>2374</v>
      </c>
      <c r="B291" t="s">
        <v>16</v>
      </c>
      <c r="C291" t="s">
        <v>2610</v>
      </c>
      <c r="D291" t="s">
        <v>2611</v>
      </c>
      <c r="E291" t="s">
        <v>2612</v>
      </c>
      <c r="F291" t="s">
        <v>2382</v>
      </c>
      <c r="G291" t="s">
        <v>22</v>
      </c>
      <c r="H291" t="s">
        <v>22</v>
      </c>
      <c r="I291" t="s">
        <v>888</v>
      </c>
    </row>
    <row r="292" spans="1:9" ht="11.25" customHeight="1">
      <c r="A292" t="s">
        <v>2374</v>
      </c>
      <c r="B292" t="s">
        <v>16</v>
      </c>
      <c r="C292" t="s">
        <v>2613</v>
      </c>
      <c r="D292" t="s">
        <v>2614</v>
      </c>
      <c r="E292" t="s">
        <v>2615</v>
      </c>
      <c r="F292" t="s">
        <v>2616</v>
      </c>
      <c r="G292" t="s">
        <v>22</v>
      </c>
      <c r="H292" t="s">
        <v>22</v>
      </c>
      <c r="I292" t="s">
        <v>888</v>
      </c>
    </row>
    <row r="293" spans="1:9" ht="11.25" customHeight="1">
      <c r="A293" t="s">
        <v>2374</v>
      </c>
      <c r="B293" t="s">
        <v>16</v>
      </c>
      <c r="C293" t="s">
        <v>2617</v>
      </c>
      <c r="D293" t="s">
        <v>2618</v>
      </c>
      <c r="E293" t="s">
        <v>2619</v>
      </c>
      <c r="F293" t="s">
        <v>2382</v>
      </c>
      <c r="G293" t="s">
        <v>2620</v>
      </c>
      <c r="H293" t="s">
        <v>22</v>
      </c>
      <c r="I293" t="s">
        <v>888</v>
      </c>
    </row>
    <row r="294" spans="1:9" ht="11.25" customHeight="1">
      <c r="A294" t="s">
        <v>2374</v>
      </c>
      <c r="B294" t="s">
        <v>16</v>
      </c>
      <c r="C294" t="s">
        <v>2625</v>
      </c>
      <c r="D294" t="s">
        <v>2626</v>
      </c>
      <c r="E294" t="s">
        <v>2627</v>
      </c>
      <c r="F294" t="s">
        <v>2382</v>
      </c>
      <c r="G294" t="s">
        <v>2620</v>
      </c>
      <c r="H294" t="s">
        <v>22</v>
      </c>
      <c r="I294" t="s">
        <v>888</v>
      </c>
    </row>
    <row r="295" spans="1:9" ht="11.25" customHeight="1">
      <c r="A295" t="s">
        <v>2374</v>
      </c>
      <c r="B295" t="s">
        <v>16</v>
      </c>
      <c r="C295" t="s">
        <v>2628</v>
      </c>
      <c r="D295" t="s">
        <v>2629</v>
      </c>
      <c r="E295" t="s">
        <v>2630</v>
      </c>
      <c r="F295" t="s">
        <v>2432</v>
      </c>
      <c r="G295" t="s">
        <v>2631</v>
      </c>
      <c r="H295" t="s">
        <v>22</v>
      </c>
      <c r="I295" t="s">
        <v>888</v>
      </c>
    </row>
    <row r="296" spans="1:9" ht="11.25" customHeight="1">
      <c r="A296" t="s">
        <v>2374</v>
      </c>
      <c r="B296" t="s">
        <v>16</v>
      </c>
      <c r="C296" t="s">
        <v>2632</v>
      </c>
      <c r="D296" t="s">
        <v>2633</v>
      </c>
      <c r="E296" t="s">
        <v>2634</v>
      </c>
      <c r="F296" t="s">
        <v>2402</v>
      </c>
      <c r="G296" t="s">
        <v>2635</v>
      </c>
      <c r="H296" t="s">
        <v>22</v>
      </c>
      <c r="I296" t="s">
        <v>888</v>
      </c>
    </row>
    <row r="297" spans="1:9" ht="11.25" customHeight="1">
      <c r="A297" t="s">
        <v>2374</v>
      </c>
      <c r="B297" t="s">
        <v>16</v>
      </c>
      <c r="C297" t="s">
        <v>2636</v>
      </c>
      <c r="D297" t="s">
        <v>2637</v>
      </c>
      <c r="E297" t="s">
        <v>2638</v>
      </c>
      <c r="F297" t="s">
        <v>2382</v>
      </c>
      <c r="G297" t="s">
        <v>2639</v>
      </c>
      <c r="H297" t="s">
        <v>22</v>
      </c>
      <c r="I297" t="s">
        <v>888</v>
      </c>
    </row>
    <row r="298" spans="1:9" ht="11.25" customHeight="1">
      <c r="A298" t="s">
        <v>2374</v>
      </c>
      <c r="B298" t="s">
        <v>16</v>
      </c>
      <c r="C298" t="s">
        <v>2640</v>
      </c>
      <c r="D298" t="s">
        <v>2641</v>
      </c>
      <c r="E298" t="s">
        <v>2642</v>
      </c>
      <c r="F298" t="s">
        <v>2598</v>
      </c>
      <c r="G298" t="s">
        <v>22</v>
      </c>
      <c r="H298" t="s">
        <v>22</v>
      </c>
      <c r="I298" t="s">
        <v>888</v>
      </c>
    </row>
    <row r="299" spans="1:9" ht="11.25" customHeight="1">
      <c r="A299" t="s">
        <v>2374</v>
      </c>
      <c r="B299" t="s">
        <v>16</v>
      </c>
      <c r="C299" t="s">
        <v>2657</v>
      </c>
      <c r="D299" t="s">
        <v>2658</v>
      </c>
      <c r="E299" t="s">
        <v>2659</v>
      </c>
      <c r="F299" t="s">
        <v>2539</v>
      </c>
      <c r="G299" t="s">
        <v>22</v>
      </c>
      <c r="H299" t="s">
        <v>22</v>
      </c>
      <c r="I299" t="s">
        <v>888</v>
      </c>
    </row>
    <row r="300" spans="1:9" ht="11.25" customHeight="1">
      <c r="A300" t="s">
        <v>2374</v>
      </c>
      <c r="B300" t="s">
        <v>16</v>
      </c>
      <c r="C300" t="s">
        <v>3042</v>
      </c>
      <c r="D300" t="s">
        <v>3043</v>
      </c>
      <c r="E300" t="s">
        <v>2503</v>
      </c>
      <c r="F300" t="s">
        <v>3044</v>
      </c>
      <c r="G300" t="s">
        <v>22</v>
      </c>
      <c r="H300" t="s">
        <v>22</v>
      </c>
      <c r="I300" t="s">
        <v>888</v>
      </c>
    </row>
    <row r="301" spans="1:9" ht="11.25" customHeight="1">
      <c r="A301" t="s">
        <v>2374</v>
      </c>
      <c r="B301" t="s">
        <v>16</v>
      </c>
      <c r="C301" t="s">
        <v>2666</v>
      </c>
      <c r="D301" t="s">
        <v>2667</v>
      </c>
      <c r="E301" t="s">
        <v>2668</v>
      </c>
      <c r="F301" t="s">
        <v>2424</v>
      </c>
      <c r="G301" t="s">
        <v>22</v>
      </c>
      <c r="H301" t="s">
        <v>2669</v>
      </c>
      <c r="I301" t="s">
        <v>888</v>
      </c>
    </row>
    <row r="302" spans="1:9" ht="11.25" customHeight="1">
      <c r="A302" t="s">
        <v>2374</v>
      </c>
      <c r="B302" t="s">
        <v>16</v>
      </c>
      <c r="C302" t="s">
        <v>3045</v>
      </c>
      <c r="D302" t="s">
        <v>3046</v>
      </c>
      <c r="E302" t="s">
        <v>3047</v>
      </c>
      <c r="F302" t="s">
        <v>2436</v>
      </c>
      <c r="G302" t="s">
        <v>3048</v>
      </c>
      <c r="H302" t="s">
        <v>22</v>
      </c>
      <c r="I302" t="s">
        <v>888</v>
      </c>
    </row>
    <row r="303" spans="1:9" ht="11.25" customHeight="1">
      <c r="A303" t="s">
        <v>2374</v>
      </c>
      <c r="B303" t="s">
        <v>16</v>
      </c>
      <c r="C303" t="s">
        <v>2674</v>
      </c>
      <c r="D303" t="s">
        <v>2675</v>
      </c>
      <c r="E303" t="s">
        <v>2676</v>
      </c>
      <c r="F303" t="s">
        <v>2616</v>
      </c>
      <c r="G303" t="s">
        <v>2677</v>
      </c>
      <c r="H303" t="s">
        <v>22</v>
      </c>
      <c r="I303" t="s">
        <v>888</v>
      </c>
    </row>
    <row r="304" spans="1:9" ht="11.25" customHeight="1">
      <c r="A304" t="s">
        <v>2374</v>
      </c>
      <c r="B304" t="s">
        <v>16</v>
      </c>
      <c r="C304" t="s">
        <v>2678</v>
      </c>
      <c r="D304" t="s">
        <v>2679</v>
      </c>
      <c r="E304" t="s">
        <v>2680</v>
      </c>
      <c r="F304" t="s">
        <v>2681</v>
      </c>
      <c r="G304" t="s">
        <v>2682</v>
      </c>
      <c r="H304" t="s">
        <v>22</v>
      </c>
      <c r="I304" t="s">
        <v>888</v>
      </c>
    </row>
    <row r="305" spans="1:9" ht="11.25" customHeight="1">
      <c r="A305" t="s">
        <v>2374</v>
      </c>
      <c r="B305" t="s">
        <v>16</v>
      </c>
      <c r="C305" t="s">
        <v>2683</v>
      </c>
      <c r="D305" t="s">
        <v>2679</v>
      </c>
      <c r="E305" t="s">
        <v>2680</v>
      </c>
      <c r="F305" t="s">
        <v>2684</v>
      </c>
      <c r="G305" t="s">
        <v>22</v>
      </c>
      <c r="H305" t="s">
        <v>22</v>
      </c>
      <c r="I305" t="s">
        <v>888</v>
      </c>
    </row>
    <row r="306" spans="1:9" ht="11.25" customHeight="1">
      <c r="A306" t="s">
        <v>2374</v>
      </c>
      <c r="B306" t="s">
        <v>16</v>
      </c>
      <c r="C306" t="s">
        <v>2688</v>
      </c>
      <c r="D306" t="s">
        <v>2689</v>
      </c>
      <c r="E306" t="s">
        <v>2377</v>
      </c>
      <c r="F306" t="s">
        <v>2690</v>
      </c>
      <c r="G306" t="s">
        <v>22</v>
      </c>
      <c r="H306" t="s">
        <v>22</v>
      </c>
      <c r="I306" t="s">
        <v>888</v>
      </c>
    </row>
    <row r="307" spans="1:9" ht="11.25" customHeight="1">
      <c r="A307" t="s">
        <v>2374</v>
      </c>
      <c r="B307" t="s">
        <v>16</v>
      </c>
      <c r="C307" t="s">
        <v>2691</v>
      </c>
      <c r="D307" t="s">
        <v>2692</v>
      </c>
      <c r="E307" t="s">
        <v>2377</v>
      </c>
      <c r="F307" t="s">
        <v>2693</v>
      </c>
      <c r="G307" t="s">
        <v>22</v>
      </c>
      <c r="H307" t="s">
        <v>22</v>
      </c>
      <c r="I307" t="s">
        <v>888</v>
      </c>
    </row>
    <row r="308" spans="1:9" ht="11.25" customHeight="1">
      <c r="A308" t="s">
        <v>2374</v>
      </c>
      <c r="B308" t="s">
        <v>16</v>
      </c>
      <c r="C308" t="s">
        <v>2694</v>
      </c>
      <c r="D308" t="s">
        <v>2695</v>
      </c>
      <c r="E308" t="s">
        <v>2377</v>
      </c>
      <c r="F308" t="s">
        <v>2696</v>
      </c>
      <c r="G308" t="s">
        <v>22</v>
      </c>
      <c r="H308" t="s">
        <v>22</v>
      </c>
      <c r="I308" t="s">
        <v>888</v>
      </c>
    </row>
    <row r="309" spans="1:9" ht="11.25" customHeight="1">
      <c r="A309" t="s">
        <v>2374</v>
      </c>
      <c r="B309" t="s">
        <v>16</v>
      </c>
      <c r="C309" t="s">
        <v>2697</v>
      </c>
      <c r="D309" t="s">
        <v>2698</v>
      </c>
      <c r="E309" t="s">
        <v>2377</v>
      </c>
      <c r="F309" t="s">
        <v>2699</v>
      </c>
      <c r="G309" t="s">
        <v>22</v>
      </c>
      <c r="H309" t="s">
        <v>22</v>
      </c>
      <c r="I309" t="s">
        <v>888</v>
      </c>
    </row>
    <row r="310" spans="1:9" ht="11.25" customHeight="1">
      <c r="A310" t="s">
        <v>2374</v>
      </c>
      <c r="B310" t="s">
        <v>16</v>
      </c>
      <c r="C310" t="s">
        <v>2700</v>
      </c>
      <c r="D310" t="s">
        <v>2701</v>
      </c>
      <c r="E310" t="s">
        <v>2377</v>
      </c>
      <c r="F310" t="s">
        <v>2702</v>
      </c>
      <c r="G310" t="s">
        <v>22</v>
      </c>
      <c r="H310" t="s">
        <v>22</v>
      </c>
      <c r="I310" t="s">
        <v>888</v>
      </c>
    </row>
    <row r="311" spans="1:9" ht="11.25" customHeight="1">
      <c r="A311" t="s">
        <v>2374</v>
      </c>
      <c r="B311" t="s">
        <v>16</v>
      </c>
      <c r="C311" t="s">
        <v>2703</v>
      </c>
      <c r="D311" t="s">
        <v>2704</v>
      </c>
      <c r="E311" t="s">
        <v>2377</v>
      </c>
      <c r="F311" t="s">
        <v>2705</v>
      </c>
      <c r="G311" t="s">
        <v>22</v>
      </c>
      <c r="H311" t="s">
        <v>22</v>
      </c>
      <c r="I311" t="s">
        <v>888</v>
      </c>
    </row>
    <row r="312" spans="1:9" ht="11.25" customHeight="1">
      <c r="A312" t="s">
        <v>2374</v>
      </c>
      <c r="B312" t="s">
        <v>16</v>
      </c>
      <c r="C312" t="s">
        <v>2706</v>
      </c>
      <c r="D312" t="s">
        <v>2707</v>
      </c>
      <c r="E312" t="s">
        <v>2377</v>
      </c>
      <c r="F312" t="s">
        <v>2708</v>
      </c>
      <c r="G312" t="s">
        <v>22</v>
      </c>
      <c r="H312" t="s">
        <v>22</v>
      </c>
      <c r="I312" t="s">
        <v>888</v>
      </c>
    </row>
    <row r="313" spans="1:9" ht="11.25" customHeight="1">
      <c r="A313" t="s">
        <v>2374</v>
      </c>
      <c r="B313" t="s">
        <v>16</v>
      </c>
      <c r="C313" t="s">
        <v>2709</v>
      </c>
      <c r="D313" t="s">
        <v>2710</v>
      </c>
      <c r="E313" t="s">
        <v>2377</v>
      </c>
      <c r="F313" t="s">
        <v>2711</v>
      </c>
      <c r="G313" t="s">
        <v>22</v>
      </c>
      <c r="H313" t="s">
        <v>22</v>
      </c>
      <c r="I313" t="s">
        <v>888</v>
      </c>
    </row>
    <row r="314" spans="1:9" ht="11.25" customHeight="1">
      <c r="A314" t="s">
        <v>2374</v>
      </c>
      <c r="B314" t="s">
        <v>16</v>
      </c>
      <c r="C314" t="s">
        <v>2712</v>
      </c>
      <c r="D314" t="s">
        <v>2713</v>
      </c>
      <c r="E314" t="s">
        <v>2377</v>
      </c>
      <c r="F314" t="s">
        <v>2714</v>
      </c>
      <c r="G314" t="s">
        <v>22</v>
      </c>
      <c r="H314" t="s">
        <v>22</v>
      </c>
      <c r="I314" t="s">
        <v>888</v>
      </c>
    </row>
    <row r="315" spans="1:9" ht="11.25" customHeight="1">
      <c r="A315" t="s">
        <v>2374</v>
      </c>
      <c r="B315" t="s">
        <v>16</v>
      </c>
      <c r="C315" t="s">
        <v>2715</v>
      </c>
      <c r="D315" t="s">
        <v>2716</v>
      </c>
      <c r="E315" t="s">
        <v>2717</v>
      </c>
      <c r="F315" t="s">
        <v>2718</v>
      </c>
      <c r="G315" t="s">
        <v>22</v>
      </c>
      <c r="H315" t="s">
        <v>22</v>
      </c>
      <c r="I315" t="s">
        <v>888</v>
      </c>
    </row>
    <row r="316" spans="1:9" ht="11.25" customHeight="1">
      <c r="A316" t="s">
        <v>2374</v>
      </c>
      <c r="B316" t="s">
        <v>16</v>
      </c>
      <c r="C316" t="s">
        <v>2719</v>
      </c>
      <c r="D316" t="s">
        <v>2720</v>
      </c>
      <c r="E316" t="s">
        <v>2717</v>
      </c>
      <c r="F316" t="s">
        <v>2721</v>
      </c>
      <c r="G316" t="s">
        <v>22</v>
      </c>
      <c r="H316" t="s">
        <v>22</v>
      </c>
      <c r="I316" t="s">
        <v>888</v>
      </c>
    </row>
    <row r="317" spans="1:9" ht="11.25" customHeight="1">
      <c r="A317" t="s">
        <v>2374</v>
      </c>
      <c r="B317" t="s">
        <v>16</v>
      </c>
      <c r="C317" t="s">
        <v>2722</v>
      </c>
      <c r="D317" t="s">
        <v>2723</v>
      </c>
      <c r="E317" t="s">
        <v>2717</v>
      </c>
      <c r="F317" t="s">
        <v>2724</v>
      </c>
      <c r="G317" t="s">
        <v>22</v>
      </c>
      <c r="H317" t="s">
        <v>22</v>
      </c>
      <c r="I317" t="s">
        <v>888</v>
      </c>
    </row>
    <row r="318" spans="1:9" ht="11.25" customHeight="1">
      <c r="A318" t="s">
        <v>2374</v>
      </c>
      <c r="B318" t="s">
        <v>16</v>
      </c>
      <c r="C318" t="s">
        <v>2725</v>
      </c>
      <c r="D318" t="s">
        <v>2726</v>
      </c>
      <c r="E318" t="s">
        <v>2727</v>
      </c>
      <c r="F318" t="s">
        <v>2728</v>
      </c>
      <c r="G318" t="s">
        <v>2729</v>
      </c>
      <c r="H318" t="s">
        <v>22</v>
      </c>
      <c r="I318" t="s">
        <v>888</v>
      </c>
    </row>
    <row r="319" spans="1:9" ht="11.25" customHeight="1">
      <c r="A319" t="s">
        <v>2374</v>
      </c>
      <c r="B319" t="s">
        <v>16</v>
      </c>
      <c r="C319" t="s">
        <v>2730</v>
      </c>
      <c r="D319" t="s">
        <v>2731</v>
      </c>
      <c r="E319" t="s">
        <v>2732</v>
      </c>
      <c r="F319" t="s">
        <v>2410</v>
      </c>
      <c r="G319" t="s">
        <v>22</v>
      </c>
      <c r="H319" t="s">
        <v>22</v>
      </c>
      <c r="I319" t="s">
        <v>888</v>
      </c>
    </row>
    <row r="320" spans="1:9" ht="11.25" customHeight="1">
      <c r="A320" t="s">
        <v>2374</v>
      </c>
      <c r="B320" t="s">
        <v>16</v>
      </c>
      <c r="C320" t="s">
        <v>2736</v>
      </c>
      <c r="D320" t="s">
        <v>2737</v>
      </c>
      <c r="E320" t="s">
        <v>2738</v>
      </c>
      <c r="F320" t="s">
        <v>2728</v>
      </c>
      <c r="G320" t="s">
        <v>2729</v>
      </c>
      <c r="H320" t="s">
        <v>22</v>
      </c>
      <c r="I320" t="s">
        <v>888</v>
      </c>
    </row>
    <row r="321" spans="1:9" ht="11.25" customHeight="1">
      <c r="A321" t="s">
        <v>2374</v>
      </c>
      <c r="B321" t="s">
        <v>16</v>
      </c>
      <c r="C321" t="s">
        <v>2739</v>
      </c>
      <c r="D321" t="s">
        <v>2740</v>
      </c>
      <c r="E321" t="s">
        <v>2385</v>
      </c>
      <c r="F321" t="s">
        <v>2741</v>
      </c>
      <c r="G321" t="s">
        <v>22</v>
      </c>
      <c r="H321" t="s">
        <v>22</v>
      </c>
      <c r="I321" t="s">
        <v>888</v>
      </c>
    </row>
    <row r="322" spans="1:9" ht="11.25" customHeight="1">
      <c r="A322" t="s">
        <v>2374</v>
      </c>
      <c r="B322" t="s">
        <v>16</v>
      </c>
      <c r="C322" t="s">
        <v>3049</v>
      </c>
      <c r="D322" t="s">
        <v>3050</v>
      </c>
      <c r="E322" t="s">
        <v>2385</v>
      </c>
      <c r="F322" t="s">
        <v>3051</v>
      </c>
      <c r="G322" t="s">
        <v>22</v>
      </c>
      <c r="H322" t="s">
        <v>22</v>
      </c>
      <c r="I322" t="s">
        <v>888</v>
      </c>
    </row>
    <row r="323" spans="1:9" ht="11.25" customHeight="1">
      <c r="A323" t="s">
        <v>2374</v>
      </c>
      <c r="B323" t="s">
        <v>16</v>
      </c>
      <c r="C323" t="s">
        <v>2744</v>
      </c>
      <c r="D323" t="s">
        <v>2745</v>
      </c>
      <c r="E323" t="s">
        <v>2746</v>
      </c>
      <c r="F323" t="s">
        <v>2747</v>
      </c>
      <c r="G323" t="s">
        <v>22</v>
      </c>
      <c r="H323" t="s">
        <v>22</v>
      </c>
      <c r="I323" t="s">
        <v>888</v>
      </c>
    </row>
    <row r="324" spans="1:9" ht="11.25" customHeight="1">
      <c r="A324" t="s">
        <v>2374</v>
      </c>
      <c r="B324" t="s">
        <v>16</v>
      </c>
      <c r="C324" t="s">
        <v>2748</v>
      </c>
      <c r="D324" t="s">
        <v>2745</v>
      </c>
      <c r="E324" t="s">
        <v>2746</v>
      </c>
      <c r="F324" t="s">
        <v>2749</v>
      </c>
      <c r="G324" t="s">
        <v>2750</v>
      </c>
      <c r="H324" t="s">
        <v>22</v>
      </c>
      <c r="I324" t="s">
        <v>888</v>
      </c>
    </row>
    <row r="325" spans="1:9" ht="11.25" customHeight="1">
      <c r="A325" t="s">
        <v>2374</v>
      </c>
      <c r="B325" t="s">
        <v>16</v>
      </c>
      <c r="C325" t="s">
        <v>3052</v>
      </c>
      <c r="D325" t="s">
        <v>3053</v>
      </c>
      <c r="E325" t="s">
        <v>3054</v>
      </c>
      <c r="F325" t="s">
        <v>51</v>
      </c>
      <c r="G325" t="s">
        <v>22</v>
      </c>
      <c r="H325" t="s">
        <v>22</v>
      </c>
      <c r="I325" t="s">
        <v>888</v>
      </c>
    </row>
    <row r="326" spans="1:9" ht="11.25" customHeight="1">
      <c r="A326" t="s">
        <v>2374</v>
      </c>
      <c r="B326" t="s">
        <v>16</v>
      </c>
      <c r="C326" t="s">
        <v>2755</v>
      </c>
      <c r="D326" t="s">
        <v>2756</v>
      </c>
      <c r="E326" t="s">
        <v>2757</v>
      </c>
      <c r="F326" t="s">
        <v>2432</v>
      </c>
      <c r="G326" t="s">
        <v>22</v>
      </c>
      <c r="H326" t="s">
        <v>22</v>
      </c>
      <c r="I326" t="s">
        <v>888</v>
      </c>
    </row>
    <row r="327" spans="1:9" ht="11.25" customHeight="1">
      <c r="A327" t="s">
        <v>2374</v>
      </c>
      <c r="B327" t="s">
        <v>16</v>
      </c>
      <c r="C327" t="s">
        <v>2758</v>
      </c>
      <c r="D327" t="s">
        <v>2759</v>
      </c>
      <c r="E327" t="s">
        <v>2760</v>
      </c>
      <c r="F327" t="s">
        <v>2420</v>
      </c>
      <c r="G327" t="s">
        <v>22</v>
      </c>
      <c r="H327" t="s">
        <v>22</v>
      </c>
      <c r="I327" t="s">
        <v>888</v>
      </c>
    </row>
    <row r="328" spans="1:9" ht="11.25" customHeight="1">
      <c r="A328" t="s">
        <v>2374</v>
      </c>
      <c r="B328" t="s">
        <v>16</v>
      </c>
      <c r="C328" t="s">
        <v>2761</v>
      </c>
      <c r="D328" t="s">
        <v>2762</v>
      </c>
      <c r="E328" t="s">
        <v>2763</v>
      </c>
      <c r="F328" t="s">
        <v>2468</v>
      </c>
      <c r="G328" t="s">
        <v>22</v>
      </c>
      <c r="H328" t="s">
        <v>22</v>
      </c>
      <c r="I328" t="s">
        <v>888</v>
      </c>
    </row>
    <row r="329" spans="1:9" ht="11.25" customHeight="1">
      <c r="A329" t="s">
        <v>2374</v>
      </c>
      <c r="B329" t="s">
        <v>16</v>
      </c>
      <c r="C329" t="s">
        <v>3055</v>
      </c>
      <c r="D329" t="s">
        <v>3056</v>
      </c>
      <c r="E329" t="s">
        <v>3057</v>
      </c>
      <c r="F329" t="s">
        <v>2424</v>
      </c>
      <c r="G329" t="s">
        <v>22</v>
      </c>
      <c r="H329" t="s">
        <v>22</v>
      </c>
      <c r="I329" t="s">
        <v>888</v>
      </c>
    </row>
    <row r="330" spans="1:9" ht="11.25" customHeight="1">
      <c r="A330" t="s">
        <v>2374</v>
      </c>
      <c r="B330" t="s">
        <v>16</v>
      </c>
      <c r="C330" t="s">
        <v>2770</v>
      </c>
      <c r="D330" t="s">
        <v>2771</v>
      </c>
      <c r="E330" t="s">
        <v>2772</v>
      </c>
      <c r="F330" t="s">
        <v>2382</v>
      </c>
      <c r="G330" t="s">
        <v>2773</v>
      </c>
      <c r="H330" t="s">
        <v>22</v>
      </c>
      <c r="I330" t="s">
        <v>888</v>
      </c>
    </row>
    <row r="331" spans="1:9" ht="11.25" customHeight="1">
      <c r="A331" t="s">
        <v>2374</v>
      </c>
      <c r="B331" t="s">
        <v>16</v>
      </c>
      <c r="C331" t="s">
        <v>2774</v>
      </c>
      <c r="D331" t="s">
        <v>2775</v>
      </c>
      <c r="E331" t="s">
        <v>2776</v>
      </c>
      <c r="F331" t="s">
        <v>2777</v>
      </c>
      <c r="G331" t="s">
        <v>22</v>
      </c>
      <c r="H331" t="s">
        <v>22</v>
      </c>
      <c r="I331" t="s">
        <v>888</v>
      </c>
    </row>
    <row r="332" spans="1:9" ht="11.25" customHeight="1">
      <c r="A332" t="s">
        <v>2374</v>
      </c>
      <c r="B332" t="s">
        <v>16</v>
      </c>
      <c r="C332" t="s">
        <v>2778</v>
      </c>
      <c r="D332" t="s">
        <v>2779</v>
      </c>
      <c r="E332" t="s">
        <v>2780</v>
      </c>
      <c r="F332" t="s">
        <v>51</v>
      </c>
      <c r="G332" t="s">
        <v>2781</v>
      </c>
      <c r="H332" t="s">
        <v>22</v>
      </c>
      <c r="I332" t="s">
        <v>888</v>
      </c>
    </row>
    <row r="333" spans="1:9" ht="11.25" customHeight="1">
      <c r="A333" t="s">
        <v>2374</v>
      </c>
      <c r="B333" t="s">
        <v>16</v>
      </c>
      <c r="C333" t="s">
        <v>2782</v>
      </c>
      <c r="D333" t="s">
        <v>2783</v>
      </c>
      <c r="E333" t="s">
        <v>2784</v>
      </c>
      <c r="F333" t="s">
        <v>2591</v>
      </c>
      <c r="G333" t="s">
        <v>22</v>
      </c>
      <c r="H333" t="s">
        <v>22</v>
      </c>
      <c r="I333" t="s">
        <v>888</v>
      </c>
    </row>
    <row r="334" spans="1:9" ht="11.25" customHeight="1">
      <c r="A334" t="s">
        <v>2374</v>
      </c>
      <c r="B334" t="s">
        <v>16</v>
      </c>
      <c r="C334" t="s">
        <v>3058</v>
      </c>
      <c r="D334" t="s">
        <v>3059</v>
      </c>
      <c r="E334" t="s">
        <v>3060</v>
      </c>
      <c r="F334" t="s">
        <v>2432</v>
      </c>
      <c r="G334" t="s">
        <v>22</v>
      </c>
      <c r="H334" t="s">
        <v>22</v>
      </c>
      <c r="I334" t="s">
        <v>888</v>
      </c>
    </row>
    <row r="335" spans="1:9" ht="11.25" customHeight="1">
      <c r="A335" t="s">
        <v>2374</v>
      </c>
      <c r="B335" t="s">
        <v>16</v>
      </c>
      <c r="C335" t="s">
        <v>2795</v>
      </c>
      <c r="D335" t="s">
        <v>2796</v>
      </c>
      <c r="E335" t="s">
        <v>2797</v>
      </c>
      <c r="F335" t="s">
        <v>2591</v>
      </c>
      <c r="G335" t="s">
        <v>22</v>
      </c>
      <c r="H335" t="s">
        <v>22</v>
      </c>
      <c r="I335" t="s">
        <v>888</v>
      </c>
    </row>
    <row r="336" spans="1:9" ht="11.25" customHeight="1">
      <c r="A336" t="s">
        <v>2374</v>
      </c>
      <c r="B336" t="s">
        <v>16</v>
      </c>
      <c r="C336" t="s">
        <v>2798</v>
      </c>
      <c r="D336" t="s">
        <v>2799</v>
      </c>
      <c r="E336" t="s">
        <v>2800</v>
      </c>
      <c r="F336" t="s">
        <v>2777</v>
      </c>
      <c r="G336" t="s">
        <v>22</v>
      </c>
      <c r="H336" t="s">
        <v>22</v>
      </c>
      <c r="I336" t="s">
        <v>888</v>
      </c>
    </row>
    <row r="337" spans="1:9" ht="11.25" customHeight="1">
      <c r="A337" t="s">
        <v>2374</v>
      </c>
      <c r="B337" t="s">
        <v>16</v>
      </c>
      <c r="C337" t="s">
        <v>2805</v>
      </c>
      <c r="D337" t="s">
        <v>2806</v>
      </c>
      <c r="E337" t="s">
        <v>2807</v>
      </c>
      <c r="F337" t="s">
        <v>2479</v>
      </c>
      <c r="G337" t="s">
        <v>2808</v>
      </c>
      <c r="H337" t="s">
        <v>22</v>
      </c>
      <c r="I337" t="s">
        <v>888</v>
      </c>
    </row>
    <row r="338" spans="1:9" ht="11.25" customHeight="1">
      <c r="A338" t="s">
        <v>2374</v>
      </c>
      <c r="B338" t="s">
        <v>16</v>
      </c>
      <c r="C338" t="s">
        <v>2815</v>
      </c>
      <c r="D338" t="s">
        <v>2816</v>
      </c>
      <c r="E338" t="s">
        <v>2817</v>
      </c>
      <c r="F338" t="s">
        <v>2818</v>
      </c>
      <c r="G338" t="s">
        <v>2819</v>
      </c>
      <c r="H338" t="s">
        <v>22</v>
      </c>
      <c r="I338" t="s">
        <v>888</v>
      </c>
    </row>
    <row r="339" spans="1:9" ht="11.25" customHeight="1">
      <c r="A339" t="s">
        <v>2374</v>
      </c>
      <c r="B339" t="s">
        <v>16</v>
      </c>
      <c r="C339" t="s">
        <v>2820</v>
      </c>
      <c r="D339" t="s">
        <v>2821</v>
      </c>
      <c r="E339" t="s">
        <v>2822</v>
      </c>
      <c r="F339" t="s">
        <v>2777</v>
      </c>
      <c r="G339" t="s">
        <v>22</v>
      </c>
      <c r="H339" t="s">
        <v>22</v>
      </c>
      <c r="I339" t="s">
        <v>888</v>
      </c>
    </row>
    <row r="340" spans="1:9" ht="11.25" customHeight="1">
      <c r="A340" t="s">
        <v>2374</v>
      </c>
      <c r="B340" t="s">
        <v>16</v>
      </c>
      <c r="C340" t="s">
        <v>2833</v>
      </c>
      <c r="D340" t="s">
        <v>2834</v>
      </c>
      <c r="E340" t="s">
        <v>2377</v>
      </c>
      <c r="F340" t="s">
        <v>2835</v>
      </c>
      <c r="G340" t="s">
        <v>22</v>
      </c>
      <c r="H340" t="s">
        <v>22</v>
      </c>
      <c r="I340" t="s">
        <v>888</v>
      </c>
    </row>
    <row r="341" spans="1:9" ht="11.25" customHeight="1">
      <c r="A341" t="s">
        <v>2374</v>
      </c>
      <c r="B341" t="s">
        <v>16</v>
      </c>
      <c r="C341" t="s">
        <v>3061</v>
      </c>
      <c r="D341" t="s">
        <v>3062</v>
      </c>
      <c r="E341" t="s">
        <v>2521</v>
      </c>
      <c r="F341" t="s">
        <v>3063</v>
      </c>
      <c r="G341" t="s">
        <v>22</v>
      </c>
      <c r="H341" t="s">
        <v>22</v>
      </c>
      <c r="I341" t="s">
        <v>888</v>
      </c>
    </row>
    <row r="342" spans="1:9" ht="11.25" customHeight="1">
      <c r="A342" t="s">
        <v>2374</v>
      </c>
      <c r="B342" t="s">
        <v>16</v>
      </c>
      <c r="C342" t="s">
        <v>3064</v>
      </c>
      <c r="D342" t="s">
        <v>3065</v>
      </c>
      <c r="E342" t="s">
        <v>2521</v>
      </c>
      <c r="F342" t="s">
        <v>51</v>
      </c>
      <c r="G342" t="s">
        <v>22</v>
      </c>
      <c r="H342" t="s">
        <v>22</v>
      </c>
      <c r="I342" t="s">
        <v>888</v>
      </c>
    </row>
    <row r="343" spans="1:9" ht="11.25" customHeight="1">
      <c r="A343" t="s">
        <v>2374</v>
      </c>
      <c r="B343" t="s">
        <v>16</v>
      </c>
      <c r="C343" t="s">
        <v>2845</v>
      </c>
      <c r="D343" t="s">
        <v>2846</v>
      </c>
      <c r="E343" t="s">
        <v>2847</v>
      </c>
      <c r="F343" t="s">
        <v>2848</v>
      </c>
      <c r="G343" t="s">
        <v>2849</v>
      </c>
      <c r="H343" t="s">
        <v>22</v>
      </c>
      <c r="I343" t="s">
        <v>888</v>
      </c>
    </row>
    <row r="344" spans="1:9" ht="11.25" customHeight="1">
      <c r="A344" t="s">
        <v>2374</v>
      </c>
      <c r="B344" t="s">
        <v>16</v>
      </c>
      <c r="C344" t="s">
        <v>3066</v>
      </c>
      <c r="D344" t="s">
        <v>3067</v>
      </c>
      <c r="E344" t="s">
        <v>3068</v>
      </c>
      <c r="F344" t="s">
        <v>51</v>
      </c>
      <c r="G344" t="s">
        <v>22</v>
      </c>
      <c r="H344" t="s">
        <v>22</v>
      </c>
      <c r="I344" t="s">
        <v>888</v>
      </c>
    </row>
    <row r="345" spans="1:9" ht="11.25" customHeight="1">
      <c r="A345" t="s">
        <v>2374</v>
      </c>
      <c r="B345" t="s">
        <v>16</v>
      </c>
      <c r="C345" t="s">
        <v>2860</v>
      </c>
      <c r="D345" t="s">
        <v>2861</v>
      </c>
      <c r="E345" t="s">
        <v>2862</v>
      </c>
      <c r="F345" t="s">
        <v>2479</v>
      </c>
      <c r="G345" t="s">
        <v>22</v>
      </c>
      <c r="H345" t="s">
        <v>22</v>
      </c>
      <c r="I345" t="s">
        <v>888</v>
      </c>
    </row>
    <row r="346" spans="1:9" ht="11.25" customHeight="1">
      <c r="A346" t="s">
        <v>2374</v>
      </c>
      <c r="B346" t="s">
        <v>16</v>
      </c>
      <c r="C346" t="s">
        <v>2863</v>
      </c>
      <c r="D346" t="s">
        <v>2864</v>
      </c>
      <c r="E346" t="s">
        <v>2865</v>
      </c>
      <c r="F346" t="s">
        <v>2432</v>
      </c>
      <c r="G346" t="s">
        <v>22</v>
      </c>
      <c r="H346" t="s">
        <v>22</v>
      </c>
      <c r="I346" t="s">
        <v>888</v>
      </c>
    </row>
    <row r="347" spans="1:9" ht="11.25" customHeight="1">
      <c r="A347" t="s">
        <v>2374</v>
      </c>
      <c r="B347" t="s">
        <v>16</v>
      </c>
      <c r="C347" t="s">
        <v>3069</v>
      </c>
      <c r="D347" t="s">
        <v>3070</v>
      </c>
      <c r="E347" t="s">
        <v>3071</v>
      </c>
      <c r="F347" t="s">
        <v>51</v>
      </c>
      <c r="G347" t="s">
        <v>22</v>
      </c>
      <c r="H347" t="s">
        <v>22</v>
      </c>
      <c r="I347" t="s">
        <v>888</v>
      </c>
    </row>
    <row r="348" spans="1:9" ht="11.25" customHeight="1">
      <c r="A348" t="s">
        <v>2374</v>
      </c>
      <c r="B348" t="s">
        <v>16</v>
      </c>
      <c r="C348" t="s">
        <v>2884</v>
      </c>
      <c r="D348" t="s">
        <v>2885</v>
      </c>
      <c r="E348" t="s">
        <v>2886</v>
      </c>
      <c r="F348" t="s">
        <v>2479</v>
      </c>
      <c r="G348" t="s">
        <v>2887</v>
      </c>
      <c r="H348" t="s">
        <v>22</v>
      </c>
      <c r="I348" t="s">
        <v>888</v>
      </c>
    </row>
    <row r="349" spans="1:9" ht="11.25" customHeight="1">
      <c r="A349" t="s">
        <v>2374</v>
      </c>
      <c r="B349" t="s">
        <v>16</v>
      </c>
      <c r="C349" t="s">
        <v>2888</v>
      </c>
      <c r="D349" t="s">
        <v>2889</v>
      </c>
      <c r="E349" t="s">
        <v>2890</v>
      </c>
      <c r="F349" t="s">
        <v>2479</v>
      </c>
      <c r="G349" t="s">
        <v>22</v>
      </c>
      <c r="H349" t="s">
        <v>22</v>
      </c>
      <c r="I349" t="s">
        <v>888</v>
      </c>
    </row>
    <row r="350" spans="1:9" ht="11.25" customHeight="1">
      <c r="A350" t="s">
        <v>2374</v>
      </c>
      <c r="B350" t="s">
        <v>16</v>
      </c>
      <c r="C350" t="s">
        <v>2891</v>
      </c>
      <c r="D350" t="s">
        <v>2892</v>
      </c>
      <c r="E350" t="s">
        <v>2746</v>
      </c>
      <c r="F350" t="s">
        <v>2893</v>
      </c>
      <c r="G350" t="s">
        <v>22</v>
      </c>
      <c r="H350" t="s">
        <v>22</v>
      </c>
      <c r="I350" t="s">
        <v>888</v>
      </c>
    </row>
    <row r="351" spans="1:9" ht="11.25" customHeight="1">
      <c r="A351" t="s">
        <v>2374</v>
      </c>
      <c r="B351" t="s">
        <v>16</v>
      </c>
      <c r="C351" t="s">
        <v>2898</v>
      </c>
      <c r="D351" t="s">
        <v>2899</v>
      </c>
      <c r="E351" t="s">
        <v>2900</v>
      </c>
      <c r="F351" t="s">
        <v>2479</v>
      </c>
      <c r="G351" t="s">
        <v>22</v>
      </c>
      <c r="H351" t="s">
        <v>2901</v>
      </c>
      <c r="I351" t="s">
        <v>888</v>
      </c>
    </row>
    <row r="352" spans="1:9" ht="11.25" customHeight="1">
      <c r="A352" t="s">
        <v>2374</v>
      </c>
      <c r="B352" t="s">
        <v>16</v>
      </c>
      <c r="C352" t="s">
        <v>2902</v>
      </c>
      <c r="D352" t="s">
        <v>2903</v>
      </c>
      <c r="E352" t="s">
        <v>2904</v>
      </c>
      <c r="F352" t="s">
        <v>2444</v>
      </c>
      <c r="G352" t="s">
        <v>2905</v>
      </c>
      <c r="H352" t="s">
        <v>22</v>
      </c>
      <c r="I352" t="s">
        <v>888</v>
      </c>
    </row>
    <row r="353" spans="1:9" ht="11.25" customHeight="1">
      <c r="A353" t="s">
        <v>2374</v>
      </c>
      <c r="B353" t="s">
        <v>16</v>
      </c>
      <c r="C353" t="s">
        <v>3072</v>
      </c>
      <c r="D353" t="s">
        <v>3073</v>
      </c>
      <c r="E353" t="s">
        <v>3074</v>
      </c>
      <c r="F353" t="s">
        <v>2410</v>
      </c>
      <c r="G353" t="s">
        <v>22</v>
      </c>
      <c r="H353" t="s">
        <v>22</v>
      </c>
      <c r="I353" t="s">
        <v>888</v>
      </c>
    </row>
    <row r="354" spans="1:9" ht="11.25" customHeight="1">
      <c r="A354" t="s">
        <v>2374</v>
      </c>
      <c r="B354" t="s">
        <v>16</v>
      </c>
      <c r="C354" t="s">
        <v>3075</v>
      </c>
      <c r="D354" t="s">
        <v>3076</v>
      </c>
      <c r="E354" t="s">
        <v>3077</v>
      </c>
      <c r="F354" t="s">
        <v>2432</v>
      </c>
      <c r="G354" t="s">
        <v>22</v>
      </c>
      <c r="H354" t="s">
        <v>22</v>
      </c>
      <c r="I354" t="s">
        <v>888</v>
      </c>
    </row>
    <row r="355" spans="1:9" ht="11.25" customHeight="1">
      <c r="A355" t="s">
        <v>2374</v>
      </c>
      <c r="B355" t="s">
        <v>16</v>
      </c>
      <c r="C355" t="s">
        <v>2906</v>
      </c>
      <c r="D355" t="s">
        <v>2907</v>
      </c>
      <c r="E355" t="s">
        <v>2908</v>
      </c>
      <c r="F355" t="s">
        <v>2432</v>
      </c>
      <c r="G355" t="s">
        <v>2909</v>
      </c>
      <c r="H355" t="s">
        <v>22</v>
      </c>
      <c r="I355" t="s">
        <v>888</v>
      </c>
    </row>
    <row r="356" spans="1:9" ht="11.25" customHeight="1">
      <c r="A356" t="s">
        <v>2374</v>
      </c>
      <c r="B356" t="s">
        <v>16</v>
      </c>
      <c r="C356" t="s">
        <v>3078</v>
      </c>
      <c r="D356" t="s">
        <v>3079</v>
      </c>
      <c r="E356" t="s">
        <v>3080</v>
      </c>
      <c r="F356" t="s">
        <v>3081</v>
      </c>
      <c r="G356" t="s">
        <v>22</v>
      </c>
      <c r="H356" t="s">
        <v>22</v>
      </c>
      <c r="I356" t="s">
        <v>888</v>
      </c>
    </row>
    <row r="357" spans="1:9" ht="11.25" customHeight="1">
      <c r="A357" t="s">
        <v>2374</v>
      </c>
      <c r="B357" t="s">
        <v>16</v>
      </c>
      <c r="C357" t="s">
        <v>3082</v>
      </c>
      <c r="D357" t="s">
        <v>3083</v>
      </c>
      <c r="E357" t="s">
        <v>3084</v>
      </c>
      <c r="F357" t="s">
        <v>2432</v>
      </c>
      <c r="G357" t="s">
        <v>22</v>
      </c>
      <c r="H357" t="s">
        <v>22</v>
      </c>
      <c r="I357" t="s">
        <v>888</v>
      </c>
    </row>
    <row r="358" spans="1:9" ht="11.25" customHeight="1">
      <c r="A358" t="s">
        <v>2374</v>
      </c>
      <c r="B358" t="s">
        <v>16</v>
      </c>
      <c r="C358" t="s">
        <v>3085</v>
      </c>
      <c r="D358" t="s">
        <v>3086</v>
      </c>
      <c r="E358" t="s">
        <v>3087</v>
      </c>
      <c r="F358" t="s">
        <v>2424</v>
      </c>
      <c r="G358" t="s">
        <v>22</v>
      </c>
      <c r="H358" t="s">
        <v>22</v>
      </c>
      <c r="I358" t="s">
        <v>888</v>
      </c>
    </row>
    <row r="359" spans="1:9" ht="11.25" customHeight="1">
      <c r="A359" t="s">
        <v>2374</v>
      </c>
      <c r="B359" t="s">
        <v>16</v>
      </c>
      <c r="C359" t="s">
        <v>2927</v>
      </c>
      <c r="D359" t="s">
        <v>2928</v>
      </c>
      <c r="E359" t="s">
        <v>2929</v>
      </c>
      <c r="F359" t="s">
        <v>2930</v>
      </c>
      <c r="G359" t="s">
        <v>22</v>
      </c>
      <c r="H359" t="s">
        <v>22</v>
      </c>
      <c r="I359" t="s">
        <v>888</v>
      </c>
    </row>
    <row r="360" spans="1:9" ht="11.25" customHeight="1">
      <c r="A360" t="s">
        <v>2374</v>
      </c>
      <c r="B360" t="s">
        <v>16</v>
      </c>
      <c r="C360" t="s">
        <v>3088</v>
      </c>
      <c r="D360" t="s">
        <v>3089</v>
      </c>
      <c r="E360" t="s">
        <v>3090</v>
      </c>
      <c r="F360" t="s">
        <v>51</v>
      </c>
      <c r="G360" t="s">
        <v>3091</v>
      </c>
      <c r="H360" t="s">
        <v>22</v>
      </c>
      <c r="I360" t="s">
        <v>888</v>
      </c>
    </row>
    <row r="361" spans="1:9" ht="11.25" customHeight="1">
      <c r="A361" t="s">
        <v>2374</v>
      </c>
      <c r="B361" t="s">
        <v>16</v>
      </c>
      <c r="C361" t="s">
        <v>3092</v>
      </c>
      <c r="D361" t="s">
        <v>3093</v>
      </c>
      <c r="E361" t="s">
        <v>3094</v>
      </c>
      <c r="F361" t="s">
        <v>51</v>
      </c>
      <c r="G361" t="s">
        <v>22</v>
      </c>
      <c r="H361" t="s">
        <v>3095</v>
      </c>
      <c r="I361" t="s">
        <v>888</v>
      </c>
    </row>
    <row r="362" spans="1:9" ht="11.25" customHeight="1">
      <c r="A362" t="s">
        <v>2374</v>
      </c>
      <c r="B362" t="s">
        <v>16</v>
      </c>
      <c r="C362" t="s">
        <v>2931</v>
      </c>
      <c r="D362" t="s">
        <v>2932</v>
      </c>
      <c r="E362" t="s">
        <v>2933</v>
      </c>
      <c r="F362" t="s">
        <v>51</v>
      </c>
      <c r="G362" t="s">
        <v>22</v>
      </c>
      <c r="H362" t="s">
        <v>22</v>
      </c>
      <c r="I362" t="s">
        <v>888</v>
      </c>
    </row>
    <row r="363" spans="1:9" ht="11.25" customHeight="1">
      <c r="A363" t="s">
        <v>2374</v>
      </c>
      <c r="B363" t="s">
        <v>16</v>
      </c>
      <c r="C363" t="s">
        <v>2937</v>
      </c>
      <c r="D363" t="s">
        <v>2938</v>
      </c>
      <c r="E363" t="s">
        <v>2939</v>
      </c>
      <c r="F363" t="s">
        <v>2940</v>
      </c>
      <c r="G363" t="s">
        <v>22</v>
      </c>
      <c r="H363" t="s">
        <v>22</v>
      </c>
      <c r="I363" t="s">
        <v>888</v>
      </c>
    </row>
    <row r="364" spans="1:9" ht="11.25" customHeight="1">
      <c r="A364" t="s">
        <v>2374</v>
      </c>
      <c r="B364" t="s">
        <v>16</v>
      </c>
      <c r="C364" t="s">
        <v>3096</v>
      </c>
      <c r="D364" t="s">
        <v>3097</v>
      </c>
      <c r="E364" t="s">
        <v>2959</v>
      </c>
      <c r="F364" t="s">
        <v>2539</v>
      </c>
      <c r="G364" t="s">
        <v>22</v>
      </c>
      <c r="H364" t="s">
        <v>22</v>
      </c>
      <c r="I364" t="s">
        <v>888</v>
      </c>
    </row>
    <row r="365" spans="1:9" ht="11.25" customHeight="1">
      <c r="A365" t="s">
        <v>2374</v>
      </c>
      <c r="B365" t="s">
        <v>16</v>
      </c>
      <c r="C365" t="s">
        <v>3098</v>
      </c>
      <c r="D365" t="s">
        <v>3099</v>
      </c>
      <c r="E365" t="s">
        <v>3009</v>
      </c>
      <c r="F365" t="s">
        <v>3100</v>
      </c>
      <c r="G365" t="s">
        <v>3101</v>
      </c>
      <c r="H365" t="s">
        <v>22</v>
      </c>
      <c r="I365" t="s">
        <v>888</v>
      </c>
    </row>
    <row r="366" spans="1:9" ht="11.25" customHeight="1">
      <c r="A366" t="s">
        <v>2374</v>
      </c>
      <c r="B366" t="s">
        <v>16</v>
      </c>
      <c r="C366" t="s">
        <v>2941</v>
      </c>
      <c r="D366" t="s">
        <v>2942</v>
      </c>
      <c r="E366" t="s">
        <v>2943</v>
      </c>
      <c r="F366" t="s">
        <v>2468</v>
      </c>
      <c r="G366" t="s">
        <v>2944</v>
      </c>
      <c r="H366" t="s">
        <v>22</v>
      </c>
      <c r="I366" t="s">
        <v>888</v>
      </c>
    </row>
    <row r="367" spans="1:9" ht="11.25" customHeight="1">
      <c r="A367" t="s">
        <v>2374</v>
      </c>
      <c r="B367" t="s">
        <v>16</v>
      </c>
      <c r="C367" t="s">
        <v>2953</v>
      </c>
      <c r="D367" t="s">
        <v>2954</v>
      </c>
      <c r="E367" t="s">
        <v>2955</v>
      </c>
      <c r="F367" t="s">
        <v>2777</v>
      </c>
      <c r="G367" t="s">
        <v>2956</v>
      </c>
      <c r="H367" t="s">
        <v>22</v>
      </c>
      <c r="I367" t="s">
        <v>888</v>
      </c>
    </row>
    <row r="368" spans="1:9" ht="11.25" customHeight="1">
      <c r="A368" t="s">
        <v>2374</v>
      </c>
      <c r="B368" t="s">
        <v>16</v>
      </c>
      <c r="C368" t="s">
        <v>2957</v>
      </c>
      <c r="D368" t="s">
        <v>2958</v>
      </c>
      <c r="E368" t="s">
        <v>2959</v>
      </c>
      <c r="F368" t="s">
        <v>2582</v>
      </c>
      <c r="G368" t="s">
        <v>22</v>
      </c>
      <c r="H368" t="s">
        <v>22</v>
      </c>
      <c r="I368" t="s">
        <v>888</v>
      </c>
    </row>
    <row r="369" spans="1:9" ht="11.25" customHeight="1">
      <c r="A369" t="s">
        <v>2374</v>
      </c>
      <c r="B369" t="s">
        <v>16</v>
      </c>
      <c r="C369" t="s">
        <v>3102</v>
      </c>
      <c r="D369" t="s">
        <v>3103</v>
      </c>
      <c r="E369" t="s">
        <v>3104</v>
      </c>
      <c r="F369" t="s">
        <v>2591</v>
      </c>
      <c r="G369" t="s">
        <v>22</v>
      </c>
      <c r="H369" t="s">
        <v>22</v>
      </c>
      <c r="I369" t="s">
        <v>888</v>
      </c>
    </row>
    <row r="370" spans="1:9" ht="11.25" customHeight="1">
      <c r="A370" t="s">
        <v>2374</v>
      </c>
      <c r="B370" t="s">
        <v>16</v>
      </c>
      <c r="C370" t="s">
        <v>22</v>
      </c>
      <c r="D370" t="s">
        <v>2964</v>
      </c>
      <c r="E370" t="s">
        <v>2965</v>
      </c>
      <c r="F370" t="s">
        <v>2456</v>
      </c>
      <c r="G370" t="s">
        <v>22</v>
      </c>
      <c r="H370" t="s">
        <v>22</v>
      </c>
      <c r="I370" t="s">
        <v>888</v>
      </c>
    </row>
    <row r="371" spans="1:9" ht="11.25" customHeight="1">
      <c r="A371" t="s">
        <v>2374</v>
      </c>
      <c r="B371" t="s">
        <v>16</v>
      </c>
      <c r="C371" t="s">
        <v>22</v>
      </c>
      <c r="D371" t="s">
        <v>2966</v>
      </c>
      <c r="E371" t="s">
        <v>2967</v>
      </c>
      <c r="F371" t="s">
        <v>2444</v>
      </c>
      <c r="G371" t="s">
        <v>22</v>
      </c>
      <c r="H371" t="s">
        <v>22</v>
      </c>
      <c r="I371" t="s">
        <v>888</v>
      </c>
    </row>
    <row r="372" spans="1:9" ht="11.25" customHeight="1">
      <c r="A372" t="s">
        <v>2374</v>
      </c>
      <c r="B372" t="s">
        <v>16</v>
      </c>
      <c r="C372" t="s">
        <v>2968</v>
      </c>
      <c r="D372" t="s">
        <v>2969</v>
      </c>
      <c r="E372" t="s">
        <v>2970</v>
      </c>
      <c r="F372" t="s">
        <v>51</v>
      </c>
      <c r="G372" t="s">
        <v>22</v>
      </c>
      <c r="H372" t="s">
        <v>22</v>
      </c>
      <c r="I372" t="s">
        <v>888</v>
      </c>
    </row>
    <row r="373" spans="1:9" ht="11.25" customHeight="1">
      <c r="A373" t="s">
        <v>2374</v>
      </c>
      <c r="B373" t="s">
        <v>16</v>
      </c>
      <c r="C373" t="s">
        <v>2971</v>
      </c>
      <c r="D373" t="s">
        <v>2972</v>
      </c>
      <c r="E373" t="s">
        <v>2973</v>
      </c>
      <c r="F373" t="s">
        <v>2382</v>
      </c>
      <c r="G373" t="s">
        <v>22</v>
      </c>
      <c r="H373" t="s">
        <v>22</v>
      </c>
      <c r="I373" t="s">
        <v>888</v>
      </c>
    </row>
    <row r="374" spans="1:9" ht="11.25" customHeight="1">
      <c r="A374" t="s">
        <v>2374</v>
      </c>
      <c r="B374" t="s">
        <v>16</v>
      </c>
      <c r="C374" t="s">
        <v>3105</v>
      </c>
      <c r="D374" t="s">
        <v>3106</v>
      </c>
      <c r="E374" t="s">
        <v>2385</v>
      </c>
      <c r="F374" t="s">
        <v>3107</v>
      </c>
      <c r="G374" t="s">
        <v>22</v>
      </c>
      <c r="H374" t="s">
        <v>22</v>
      </c>
      <c r="I374" t="s">
        <v>888</v>
      </c>
    </row>
    <row r="375" spans="1:9" ht="11.25" customHeight="1">
      <c r="A375" t="s">
        <v>2374</v>
      </c>
      <c r="B375" t="s">
        <v>16</v>
      </c>
      <c r="C375" t="s">
        <v>13</v>
      </c>
      <c r="D375" t="s">
        <v>46</v>
      </c>
      <c r="E375" t="s">
        <v>49</v>
      </c>
      <c r="F375" t="s">
        <v>51</v>
      </c>
      <c r="G375" t="s">
        <v>3108</v>
      </c>
      <c r="H375" t="s">
        <v>22</v>
      </c>
      <c r="I375" t="s">
        <v>888</v>
      </c>
    </row>
    <row r="376" spans="1:9" ht="11.25" customHeight="1">
      <c r="A376" t="s">
        <v>2374</v>
      </c>
      <c r="B376" t="s">
        <v>16</v>
      </c>
      <c r="C376" t="s">
        <v>2977</v>
      </c>
      <c r="D376" t="s">
        <v>2978</v>
      </c>
      <c r="E376" t="s">
        <v>2979</v>
      </c>
      <c r="F376" t="s">
        <v>51</v>
      </c>
      <c r="G376" t="s">
        <v>22</v>
      </c>
      <c r="H376" t="s">
        <v>22</v>
      </c>
      <c r="I376" t="s">
        <v>888</v>
      </c>
    </row>
    <row r="377" spans="1:9" ht="11.25" customHeight="1">
      <c r="A377" t="s">
        <v>2374</v>
      </c>
      <c r="B377" t="s">
        <v>16</v>
      </c>
      <c r="C377" t="s">
        <v>3109</v>
      </c>
      <c r="D377" t="s">
        <v>3110</v>
      </c>
      <c r="E377" t="s">
        <v>3111</v>
      </c>
      <c r="F377" t="s">
        <v>2582</v>
      </c>
      <c r="G377" t="s">
        <v>22</v>
      </c>
      <c r="H377" t="s">
        <v>2575</v>
      </c>
      <c r="I377" t="s">
        <v>888</v>
      </c>
    </row>
    <row r="378" spans="1:9" ht="11.25" customHeight="1">
      <c r="A378" t="s">
        <v>2374</v>
      </c>
      <c r="B378" t="s">
        <v>16</v>
      </c>
      <c r="C378" t="s">
        <v>2980</v>
      </c>
      <c r="D378" t="s">
        <v>2981</v>
      </c>
      <c r="E378" t="s">
        <v>2717</v>
      </c>
      <c r="F378" t="s">
        <v>2982</v>
      </c>
      <c r="G378" t="s">
        <v>22</v>
      </c>
      <c r="H378" t="s">
        <v>22</v>
      </c>
      <c r="I378" t="s">
        <v>888</v>
      </c>
    </row>
    <row r="379" spans="1:9" ht="11.25" customHeight="1">
      <c r="A379" t="s">
        <v>2374</v>
      </c>
      <c r="B379" t="s">
        <v>16</v>
      </c>
      <c r="C379" t="s">
        <v>2983</v>
      </c>
      <c r="D379" t="s">
        <v>2984</v>
      </c>
      <c r="E379" t="s">
        <v>2659</v>
      </c>
      <c r="F379" t="s">
        <v>2741</v>
      </c>
      <c r="G379" t="s">
        <v>22</v>
      </c>
      <c r="H379" t="s">
        <v>22</v>
      </c>
      <c r="I379" t="s">
        <v>888</v>
      </c>
    </row>
    <row r="380" spans="1:9" ht="11.25" customHeight="1">
      <c r="A380" t="s">
        <v>2374</v>
      </c>
      <c r="B380" t="s">
        <v>16</v>
      </c>
      <c r="C380" t="s">
        <v>2985</v>
      </c>
      <c r="D380" t="s">
        <v>2986</v>
      </c>
      <c r="E380" t="s">
        <v>2659</v>
      </c>
      <c r="F380" t="s">
        <v>2987</v>
      </c>
      <c r="G380" t="s">
        <v>22</v>
      </c>
      <c r="H380" t="s">
        <v>22</v>
      </c>
      <c r="I380" t="s">
        <v>888</v>
      </c>
    </row>
    <row r="381" spans="1:9" ht="11.25" customHeight="1">
      <c r="A381" t="s">
        <v>2374</v>
      </c>
      <c r="B381" t="s">
        <v>16</v>
      </c>
      <c r="C381" t="s">
        <v>2988</v>
      </c>
      <c r="D381" t="s">
        <v>2989</v>
      </c>
      <c r="E381" t="s">
        <v>2952</v>
      </c>
      <c r="F381" t="s">
        <v>2848</v>
      </c>
      <c r="G381" t="s">
        <v>2990</v>
      </c>
      <c r="H381" t="s">
        <v>22</v>
      </c>
      <c r="I381" t="s">
        <v>888</v>
      </c>
    </row>
    <row r="382" spans="1:9" ht="11.25" customHeight="1">
      <c r="A382" t="s">
        <v>2374</v>
      </c>
      <c r="B382" t="s">
        <v>16</v>
      </c>
      <c r="C382" t="s">
        <v>2991</v>
      </c>
      <c r="D382" t="s">
        <v>2992</v>
      </c>
      <c r="E382" t="s">
        <v>2428</v>
      </c>
      <c r="F382" t="s">
        <v>2993</v>
      </c>
      <c r="G382" t="s">
        <v>22</v>
      </c>
      <c r="H382" t="s">
        <v>22</v>
      </c>
      <c r="I382" t="s">
        <v>888</v>
      </c>
    </row>
    <row r="383" spans="1:9" ht="11.25" customHeight="1">
      <c r="A383" t="s">
        <v>2374</v>
      </c>
      <c r="B383" t="s">
        <v>16</v>
      </c>
      <c r="C383" t="s">
        <v>2994</v>
      </c>
      <c r="D383" t="s">
        <v>2995</v>
      </c>
      <c r="E383" t="s">
        <v>2428</v>
      </c>
      <c r="F383" t="s">
        <v>2996</v>
      </c>
      <c r="G383" t="s">
        <v>22</v>
      </c>
      <c r="H383" t="s">
        <v>22</v>
      </c>
      <c r="I383" t="s">
        <v>888</v>
      </c>
    </row>
    <row r="384" spans="1:9" ht="11.25" customHeight="1">
      <c r="A384" t="s">
        <v>2374</v>
      </c>
      <c r="B384" t="s">
        <v>16</v>
      </c>
      <c r="C384" t="s">
        <v>2997</v>
      </c>
      <c r="D384" t="s">
        <v>2998</v>
      </c>
      <c r="E384" t="s">
        <v>2428</v>
      </c>
      <c r="F384" t="s">
        <v>2999</v>
      </c>
      <c r="G384" t="s">
        <v>22</v>
      </c>
      <c r="H384" t="s">
        <v>22</v>
      </c>
      <c r="I384" t="s">
        <v>888</v>
      </c>
    </row>
    <row r="385" spans="1:9" ht="11.25" customHeight="1">
      <c r="A385" t="s">
        <v>2374</v>
      </c>
      <c r="B385" t="s">
        <v>16</v>
      </c>
      <c r="C385" t="s">
        <v>3000</v>
      </c>
      <c r="D385" t="s">
        <v>3001</v>
      </c>
      <c r="E385" t="s">
        <v>2738</v>
      </c>
      <c r="F385" t="s">
        <v>3002</v>
      </c>
      <c r="G385" t="s">
        <v>22</v>
      </c>
      <c r="H385" t="s">
        <v>22</v>
      </c>
      <c r="I385" t="s">
        <v>888</v>
      </c>
    </row>
    <row r="386" spans="1:9" ht="11.25" customHeight="1">
      <c r="A386" t="s">
        <v>2374</v>
      </c>
      <c r="B386" t="s">
        <v>16</v>
      </c>
      <c r="C386" t="s">
        <v>3003</v>
      </c>
      <c r="D386" t="s">
        <v>3004</v>
      </c>
      <c r="E386" t="s">
        <v>2738</v>
      </c>
      <c r="F386" t="s">
        <v>3005</v>
      </c>
      <c r="G386" t="s">
        <v>3006</v>
      </c>
      <c r="H386" t="s">
        <v>22</v>
      </c>
      <c r="I386" t="s">
        <v>888</v>
      </c>
    </row>
    <row r="387" spans="1:9" ht="11.25" customHeight="1">
      <c r="A387" t="s">
        <v>2374</v>
      </c>
      <c r="B387" t="s">
        <v>16</v>
      </c>
      <c r="C387" t="s">
        <v>3007</v>
      </c>
      <c r="D387" t="s">
        <v>3008</v>
      </c>
      <c r="E387" t="s">
        <v>3009</v>
      </c>
      <c r="F387" t="s">
        <v>2848</v>
      </c>
      <c r="G387" t="s">
        <v>22</v>
      </c>
      <c r="H387" t="s">
        <v>22</v>
      </c>
      <c r="I387" t="s">
        <v>888</v>
      </c>
    </row>
    <row r="388" spans="1:9" ht="11.25" customHeight="1">
      <c r="A388" t="s">
        <v>2374</v>
      </c>
      <c r="B388" t="s">
        <v>16</v>
      </c>
      <c r="C388" t="s">
        <v>3010</v>
      </c>
      <c r="D388" t="s">
        <v>3011</v>
      </c>
      <c r="E388" t="s">
        <v>3012</v>
      </c>
      <c r="F388" t="s">
        <v>2432</v>
      </c>
      <c r="G388" t="s">
        <v>22</v>
      </c>
      <c r="H388" t="s">
        <v>22</v>
      </c>
      <c r="I388" t="s">
        <v>888</v>
      </c>
    </row>
    <row r="389" spans="1:9" ht="11.25" customHeight="1">
      <c r="A389" t="s">
        <v>2374</v>
      </c>
      <c r="B389" t="s">
        <v>16</v>
      </c>
      <c r="C389" t="s">
        <v>3013</v>
      </c>
      <c r="D389" t="s">
        <v>3014</v>
      </c>
      <c r="E389" t="s">
        <v>3015</v>
      </c>
      <c r="F389" t="s">
        <v>2616</v>
      </c>
      <c r="G389" t="s">
        <v>22</v>
      </c>
      <c r="H389" t="s">
        <v>22</v>
      </c>
      <c r="I389" t="s">
        <v>888</v>
      </c>
    </row>
    <row r="390" spans="1:9" ht="11.25" customHeight="1">
      <c r="A390" t="s">
        <v>2374</v>
      </c>
      <c r="B390" t="s">
        <v>16</v>
      </c>
      <c r="C390" t="s">
        <v>2379</v>
      </c>
      <c r="D390" t="s">
        <v>2380</v>
      </c>
      <c r="E390" t="s">
        <v>2381</v>
      </c>
      <c r="F390" t="s">
        <v>2382</v>
      </c>
      <c r="G390" t="s">
        <v>22</v>
      </c>
      <c r="H390" t="s">
        <v>22</v>
      </c>
      <c r="I390" t="s">
        <v>943</v>
      </c>
    </row>
    <row r="391" spans="1:9" ht="11.25" customHeight="1">
      <c r="A391" t="s">
        <v>2374</v>
      </c>
      <c r="B391" t="s">
        <v>16</v>
      </c>
      <c r="C391" t="s">
        <v>2383</v>
      </c>
      <c r="D391" t="s">
        <v>2384</v>
      </c>
      <c r="E391" t="s">
        <v>2385</v>
      </c>
      <c r="F391" t="s">
        <v>2386</v>
      </c>
      <c r="G391" t="s">
        <v>22</v>
      </c>
      <c r="H391" t="s">
        <v>22</v>
      </c>
      <c r="I391" t="s">
        <v>943</v>
      </c>
    </row>
    <row r="392" spans="1:9" ht="11.25" customHeight="1">
      <c r="A392" t="s">
        <v>2374</v>
      </c>
      <c r="B392" t="s">
        <v>16</v>
      </c>
      <c r="C392" t="s">
        <v>2394</v>
      </c>
      <c r="D392" t="s">
        <v>2395</v>
      </c>
      <c r="E392" t="s">
        <v>2396</v>
      </c>
      <c r="F392" t="s">
        <v>2397</v>
      </c>
      <c r="G392" t="s">
        <v>2398</v>
      </c>
      <c r="H392" t="s">
        <v>22</v>
      </c>
      <c r="I392" t="s">
        <v>943</v>
      </c>
    </row>
    <row r="393" spans="1:9" ht="11.25" customHeight="1">
      <c r="A393" t="s">
        <v>2374</v>
      </c>
      <c r="B393" t="s">
        <v>16</v>
      </c>
      <c r="C393" t="s">
        <v>3022</v>
      </c>
      <c r="D393" t="s">
        <v>3023</v>
      </c>
      <c r="E393" t="s">
        <v>3024</v>
      </c>
      <c r="F393" t="s">
        <v>2440</v>
      </c>
      <c r="G393" t="s">
        <v>3025</v>
      </c>
      <c r="H393" t="s">
        <v>22</v>
      </c>
      <c r="I393" t="s">
        <v>943</v>
      </c>
    </row>
    <row r="394" spans="1:9" ht="11.25" customHeight="1">
      <c r="A394" t="s">
        <v>2374</v>
      </c>
      <c r="B394" t="s">
        <v>16</v>
      </c>
      <c r="C394" t="s">
        <v>3026</v>
      </c>
      <c r="D394" t="s">
        <v>2404</v>
      </c>
      <c r="E394" t="s">
        <v>2405</v>
      </c>
      <c r="F394" t="s">
        <v>3027</v>
      </c>
      <c r="G394" t="s">
        <v>3028</v>
      </c>
      <c r="H394" t="s">
        <v>22</v>
      </c>
      <c r="I394" t="s">
        <v>943</v>
      </c>
    </row>
    <row r="395" spans="1:9" ht="11.25" customHeight="1">
      <c r="A395" t="s">
        <v>2374</v>
      </c>
      <c r="B395" t="s">
        <v>16</v>
      </c>
      <c r="C395" t="s">
        <v>2403</v>
      </c>
      <c r="D395" t="s">
        <v>2404</v>
      </c>
      <c r="E395" t="s">
        <v>2405</v>
      </c>
      <c r="F395" t="s">
        <v>2406</v>
      </c>
      <c r="G395" t="s">
        <v>22</v>
      </c>
      <c r="H395" t="s">
        <v>22</v>
      </c>
      <c r="I395" t="s">
        <v>943</v>
      </c>
    </row>
    <row r="396" spans="1:9" ht="11.25" customHeight="1">
      <c r="A396" t="s">
        <v>2374</v>
      </c>
      <c r="B396" t="s">
        <v>16</v>
      </c>
      <c r="C396" t="s">
        <v>2407</v>
      </c>
      <c r="D396" t="s">
        <v>2408</v>
      </c>
      <c r="E396" t="s">
        <v>2409</v>
      </c>
      <c r="F396" t="s">
        <v>2410</v>
      </c>
      <c r="G396" t="s">
        <v>2411</v>
      </c>
      <c r="H396" t="s">
        <v>22</v>
      </c>
      <c r="I396" t="s">
        <v>943</v>
      </c>
    </row>
    <row r="397" spans="1:9" ht="11.25" customHeight="1">
      <c r="A397" t="s">
        <v>2374</v>
      </c>
      <c r="B397" t="s">
        <v>16</v>
      </c>
      <c r="C397" t="s">
        <v>2421</v>
      </c>
      <c r="D397" t="s">
        <v>2422</v>
      </c>
      <c r="E397" t="s">
        <v>2423</v>
      </c>
      <c r="F397" t="s">
        <v>2424</v>
      </c>
      <c r="G397" t="s">
        <v>2425</v>
      </c>
      <c r="H397" t="s">
        <v>22</v>
      </c>
      <c r="I397" t="s">
        <v>943</v>
      </c>
    </row>
    <row r="398" spans="1:9" ht="11.25" customHeight="1">
      <c r="A398" t="s">
        <v>2374</v>
      </c>
      <c r="B398" t="s">
        <v>16</v>
      </c>
      <c r="C398" t="s">
        <v>2426</v>
      </c>
      <c r="D398" t="s">
        <v>2427</v>
      </c>
      <c r="E398" t="s">
        <v>2428</v>
      </c>
      <c r="F398" t="s">
        <v>2410</v>
      </c>
      <c r="G398" t="s">
        <v>22</v>
      </c>
      <c r="H398" t="s">
        <v>22</v>
      </c>
      <c r="I398" t="s">
        <v>943</v>
      </c>
    </row>
    <row r="399" spans="1:9" ht="11.25" customHeight="1">
      <c r="A399" t="s">
        <v>2374</v>
      </c>
      <c r="B399" t="s">
        <v>16</v>
      </c>
      <c r="C399" t="s">
        <v>3033</v>
      </c>
      <c r="D399" t="s">
        <v>3034</v>
      </c>
      <c r="E399" t="s">
        <v>3035</v>
      </c>
      <c r="F399" t="s">
        <v>2448</v>
      </c>
      <c r="G399" t="s">
        <v>22</v>
      </c>
      <c r="H399" t="s">
        <v>22</v>
      </c>
      <c r="I399" t="s">
        <v>943</v>
      </c>
    </row>
    <row r="400" spans="1:9" ht="11.25" customHeight="1">
      <c r="A400" t="s">
        <v>2374</v>
      </c>
      <c r="B400" t="s">
        <v>16</v>
      </c>
      <c r="C400" t="s">
        <v>2449</v>
      </c>
      <c r="D400" t="s">
        <v>2450</v>
      </c>
      <c r="E400" t="s">
        <v>2451</v>
      </c>
      <c r="F400" t="s">
        <v>2402</v>
      </c>
      <c r="G400" t="s">
        <v>2452</v>
      </c>
      <c r="H400" t="s">
        <v>22</v>
      </c>
      <c r="I400" t="s">
        <v>943</v>
      </c>
    </row>
    <row r="401" spans="1:9" ht="11.25" customHeight="1">
      <c r="A401" t="s">
        <v>2374</v>
      </c>
      <c r="B401" t="s">
        <v>16</v>
      </c>
      <c r="C401" t="s">
        <v>2458</v>
      </c>
      <c r="D401" t="s">
        <v>2459</v>
      </c>
      <c r="E401" t="s">
        <v>2460</v>
      </c>
      <c r="F401" t="s">
        <v>2456</v>
      </c>
      <c r="G401" t="s">
        <v>22</v>
      </c>
      <c r="H401" t="s">
        <v>22</v>
      </c>
      <c r="I401" t="s">
        <v>943</v>
      </c>
    </row>
    <row r="402" spans="1:9" ht="11.25" customHeight="1">
      <c r="A402" t="s">
        <v>2374</v>
      </c>
      <c r="B402" t="s">
        <v>16</v>
      </c>
      <c r="C402" t="s">
        <v>2461</v>
      </c>
      <c r="D402" t="s">
        <v>2462</v>
      </c>
      <c r="E402" t="s">
        <v>2463</v>
      </c>
      <c r="F402" t="s">
        <v>51</v>
      </c>
      <c r="G402" t="s">
        <v>2464</v>
      </c>
      <c r="H402" t="s">
        <v>22</v>
      </c>
      <c r="I402" t="s">
        <v>943</v>
      </c>
    </row>
    <row r="403" spans="1:9" ht="11.25" customHeight="1">
      <c r="A403" t="s">
        <v>2374</v>
      </c>
      <c r="B403" t="s">
        <v>16</v>
      </c>
      <c r="C403" t="s">
        <v>3112</v>
      </c>
      <c r="D403" t="s">
        <v>3113</v>
      </c>
      <c r="E403" t="s">
        <v>3114</v>
      </c>
      <c r="F403" t="s">
        <v>51</v>
      </c>
      <c r="G403" t="s">
        <v>22</v>
      </c>
      <c r="H403" t="s">
        <v>22</v>
      </c>
      <c r="I403" t="s">
        <v>943</v>
      </c>
    </row>
    <row r="404" spans="1:9" ht="11.25" customHeight="1">
      <c r="A404" t="s">
        <v>2374</v>
      </c>
      <c r="B404" t="s">
        <v>16</v>
      </c>
      <c r="C404" t="s">
        <v>2481</v>
      </c>
      <c r="D404" t="s">
        <v>2482</v>
      </c>
      <c r="E404" t="s">
        <v>2483</v>
      </c>
      <c r="F404" t="s">
        <v>2484</v>
      </c>
      <c r="G404" t="s">
        <v>2485</v>
      </c>
      <c r="H404" t="s">
        <v>22</v>
      </c>
      <c r="I404" t="s">
        <v>943</v>
      </c>
    </row>
    <row r="405" spans="1:9" ht="11.25" customHeight="1">
      <c r="A405" t="s">
        <v>2374</v>
      </c>
      <c r="B405" t="s">
        <v>16</v>
      </c>
      <c r="C405" t="s">
        <v>2519</v>
      </c>
      <c r="D405" t="s">
        <v>2520</v>
      </c>
      <c r="E405" t="s">
        <v>2521</v>
      </c>
      <c r="F405" t="s">
        <v>2522</v>
      </c>
      <c r="G405" t="s">
        <v>22</v>
      </c>
      <c r="H405" t="s">
        <v>22</v>
      </c>
      <c r="I405" t="s">
        <v>943</v>
      </c>
    </row>
    <row r="406" spans="1:9" ht="11.25" customHeight="1">
      <c r="A406" t="s">
        <v>2374</v>
      </c>
      <c r="B406" t="s">
        <v>16</v>
      </c>
      <c r="C406" t="s">
        <v>2531</v>
      </c>
      <c r="D406" t="s">
        <v>2532</v>
      </c>
      <c r="E406" t="s">
        <v>2533</v>
      </c>
      <c r="F406" t="s">
        <v>2534</v>
      </c>
      <c r="G406" t="s">
        <v>2535</v>
      </c>
      <c r="H406" t="s">
        <v>22</v>
      </c>
      <c r="I406" t="s">
        <v>943</v>
      </c>
    </row>
    <row r="407" spans="1:9" ht="11.25" customHeight="1">
      <c r="A407" t="s">
        <v>2374</v>
      </c>
      <c r="B407" t="s">
        <v>16</v>
      </c>
      <c r="C407" t="s">
        <v>2540</v>
      </c>
      <c r="D407" t="s">
        <v>2541</v>
      </c>
      <c r="E407" t="s">
        <v>2542</v>
      </c>
      <c r="F407" t="s">
        <v>2534</v>
      </c>
      <c r="G407" t="s">
        <v>2543</v>
      </c>
      <c r="H407" t="s">
        <v>22</v>
      </c>
      <c r="I407" t="s">
        <v>943</v>
      </c>
    </row>
    <row r="408" spans="1:9" ht="11.25" customHeight="1">
      <c r="A408" t="s">
        <v>2374</v>
      </c>
      <c r="B408" t="s">
        <v>16</v>
      </c>
      <c r="C408" t="s">
        <v>3039</v>
      </c>
      <c r="D408" t="s">
        <v>3040</v>
      </c>
      <c r="E408" t="s">
        <v>3041</v>
      </c>
      <c r="F408" t="s">
        <v>2456</v>
      </c>
      <c r="G408" t="s">
        <v>22</v>
      </c>
      <c r="H408" t="s">
        <v>22</v>
      </c>
      <c r="I408" t="s">
        <v>943</v>
      </c>
    </row>
    <row r="409" spans="1:9" ht="11.25" customHeight="1">
      <c r="A409" t="s">
        <v>2374</v>
      </c>
      <c r="B409" t="s">
        <v>16</v>
      </c>
      <c r="C409" t="s">
        <v>2547</v>
      </c>
      <c r="D409" t="s">
        <v>2548</v>
      </c>
      <c r="E409" t="s">
        <v>2549</v>
      </c>
      <c r="F409" t="s">
        <v>2397</v>
      </c>
      <c r="G409" t="s">
        <v>22</v>
      </c>
      <c r="H409" t="s">
        <v>22</v>
      </c>
      <c r="I409" t="s">
        <v>943</v>
      </c>
    </row>
    <row r="410" spans="1:9" ht="11.25" customHeight="1">
      <c r="A410" t="s">
        <v>2374</v>
      </c>
      <c r="B410" t="s">
        <v>16</v>
      </c>
      <c r="C410" t="s">
        <v>2550</v>
      </c>
      <c r="D410" t="s">
        <v>2551</v>
      </c>
      <c r="E410" t="s">
        <v>2552</v>
      </c>
      <c r="F410" t="s">
        <v>2424</v>
      </c>
      <c r="G410" t="s">
        <v>22</v>
      </c>
      <c r="H410" t="s">
        <v>22</v>
      </c>
      <c r="I410" t="s">
        <v>943</v>
      </c>
    </row>
    <row r="411" spans="1:9" ht="11.25" customHeight="1">
      <c r="A411" t="s">
        <v>2374</v>
      </c>
      <c r="B411" t="s">
        <v>16</v>
      </c>
      <c r="C411" t="s">
        <v>2553</v>
      </c>
      <c r="D411" t="s">
        <v>2554</v>
      </c>
      <c r="E411" t="s">
        <v>2555</v>
      </c>
      <c r="F411" t="s">
        <v>2556</v>
      </c>
      <c r="G411" t="s">
        <v>2557</v>
      </c>
      <c r="H411" t="s">
        <v>22</v>
      </c>
      <c r="I411" t="s">
        <v>943</v>
      </c>
    </row>
    <row r="412" spans="1:9" ht="11.25" customHeight="1">
      <c r="A412" t="s">
        <v>2374</v>
      </c>
      <c r="B412" t="s">
        <v>16</v>
      </c>
      <c r="C412" t="s">
        <v>2558</v>
      </c>
      <c r="D412" t="s">
        <v>2559</v>
      </c>
      <c r="E412" t="s">
        <v>2560</v>
      </c>
      <c r="F412" t="s">
        <v>2556</v>
      </c>
      <c r="G412" t="s">
        <v>2561</v>
      </c>
      <c r="H412" t="s">
        <v>22</v>
      </c>
      <c r="I412" t="s">
        <v>943</v>
      </c>
    </row>
    <row r="413" spans="1:9" ht="11.25" customHeight="1">
      <c r="A413" t="s">
        <v>2374</v>
      </c>
      <c r="B413" t="s">
        <v>16</v>
      </c>
      <c r="C413" t="s">
        <v>2568</v>
      </c>
      <c r="D413" t="s">
        <v>2569</v>
      </c>
      <c r="E413" t="s">
        <v>2570</v>
      </c>
      <c r="F413" t="s">
        <v>2424</v>
      </c>
      <c r="G413" t="s">
        <v>2571</v>
      </c>
      <c r="H413" t="s">
        <v>22</v>
      </c>
      <c r="I413" t="s">
        <v>943</v>
      </c>
    </row>
    <row r="414" spans="1:9" ht="11.25" customHeight="1">
      <c r="A414" t="s">
        <v>2374</v>
      </c>
      <c r="B414" t="s">
        <v>16</v>
      </c>
      <c r="C414" t="s">
        <v>2572</v>
      </c>
      <c r="D414" t="s">
        <v>2573</v>
      </c>
      <c r="E414" t="s">
        <v>2574</v>
      </c>
      <c r="F414" t="s">
        <v>2424</v>
      </c>
      <c r="G414" t="s">
        <v>2575</v>
      </c>
      <c r="H414" t="s">
        <v>22</v>
      </c>
      <c r="I414" t="s">
        <v>943</v>
      </c>
    </row>
    <row r="415" spans="1:9" ht="11.25" customHeight="1">
      <c r="A415" t="s">
        <v>2374</v>
      </c>
      <c r="B415" t="s">
        <v>16</v>
      </c>
      <c r="C415" t="s">
        <v>2584</v>
      </c>
      <c r="D415" t="s">
        <v>2585</v>
      </c>
      <c r="E415" t="s">
        <v>2586</v>
      </c>
      <c r="F415" t="s">
        <v>2410</v>
      </c>
      <c r="G415" t="s">
        <v>2587</v>
      </c>
      <c r="H415" t="s">
        <v>22</v>
      </c>
      <c r="I415" t="s">
        <v>943</v>
      </c>
    </row>
    <row r="416" spans="1:9" ht="11.25" customHeight="1">
      <c r="A416" t="s">
        <v>2374</v>
      </c>
      <c r="B416" t="s">
        <v>16</v>
      </c>
      <c r="C416" t="s">
        <v>2588</v>
      </c>
      <c r="D416" t="s">
        <v>2589</v>
      </c>
      <c r="E416" t="s">
        <v>2590</v>
      </c>
      <c r="F416" t="s">
        <v>2591</v>
      </c>
      <c r="G416" t="s">
        <v>22</v>
      </c>
      <c r="H416" t="s">
        <v>22</v>
      </c>
      <c r="I416" t="s">
        <v>943</v>
      </c>
    </row>
    <row r="417" spans="1:9" ht="11.25" customHeight="1">
      <c r="A417" t="s">
        <v>2374</v>
      </c>
      <c r="B417" t="s">
        <v>16</v>
      </c>
      <c r="C417" t="s">
        <v>2592</v>
      </c>
      <c r="D417" t="s">
        <v>2593</v>
      </c>
      <c r="E417" t="s">
        <v>2594</v>
      </c>
      <c r="F417" t="s">
        <v>2534</v>
      </c>
      <c r="G417" t="s">
        <v>22</v>
      </c>
      <c r="H417" t="s">
        <v>22</v>
      </c>
      <c r="I417" t="s">
        <v>943</v>
      </c>
    </row>
    <row r="418" spans="1:9" ht="11.25" customHeight="1">
      <c r="A418" t="s">
        <v>2374</v>
      </c>
      <c r="B418" t="s">
        <v>16</v>
      </c>
      <c r="C418" t="s">
        <v>2595</v>
      </c>
      <c r="D418" t="s">
        <v>2596</v>
      </c>
      <c r="E418" t="s">
        <v>2597</v>
      </c>
      <c r="F418" t="s">
        <v>2598</v>
      </c>
      <c r="G418" t="s">
        <v>22</v>
      </c>
      <c r="H418" t="s">
        <v>22</v>
      </c>
      <c r="I418" t="s">
        <v>943</v>
      </c>
    </row>
    <row r="419" spans="1:9" ht="11.25" customHeight="1">
      <c r="A419" t="s">
        <v>2374</v>
      </c>
      <c r="B419" t="s">
        <v>16</v>
      </c>
      <c r="C419" t="s">
        <v>2599</v>
      </c>
      <c r="D419" t="s">
        <v>2600</v>
      </c>
      <c r="E419" t="s">
        <v>2601</v>
      </c>
      <c r="F419" t="s">
        <v>2534</v>
      </c>
      <c r="G419" t="s">
        <v>22</v>
      </c>
      <c r="H419" t="s">
        <v>22</v>
      </c>
      <c r="I419" t="s">
        <v>943</v>
      </c>
    </row>
    <row r="420" spans="1:9" ht="11.25" customHeight="1">
      <c r="A420" t="s">
        <v>2374</v>
      </c>
      <c r="B420" t="s">
        <v>16</v>
      </c>
      <c r="C420" t="s">
        <v>2602</v>
      </c>
      <c r="D420" t="s">
        <v>2603</v>
      </c>
      <c r="E420" t="s">
        <v>2604</v>
      </c>
      <c r="F420" t="s">
        <v>2605</v>
      </c>
      <c r="G420" t="s">
        <v>22</v>
      </c>
      <c r="H420" t="s">
        <v>22</v>
      </c>
      <c r="I420" t="s">
        <v>943</v>
      </c>
    </row>
    <row r="421" spans="1:9" ht="11.25" customHeight="1">
      <c r="A421" t="s">
        <v>2374</v>
      </c>
      <c r="B421" t="s">
        <v>16</v>
      </c>
      <c r="C421" t="s">
        <v>2606</v>
      </c>
      <c r="D421" t="s">
        <v>2607</v>
      </c>
      <c r="E421" t="s">
        <v>2608</v>
      </c>
      <c r="F421" t="s">
        <v>2382</v>
      </c>
      <c r="G421" t="s">
        <v>2609</v>
      </c>
      <c r="H421" t="s">
        <v>22</v>
      </c>
      <c r="I421" t="s">
        <v>943</v>
      </c>
    </row>
    <row r="422" spans="1:9" ht="11.25" customHeight="1">
      <c r="A422" t="s">
        <v>2374</v>
      </c>
      <c r="B422" t="s">
        <v>16</v>
      </c>
      <c r="C422" t="s">
        <v>2610</v>
      </c>
      <c r="D422" t="s">
        <v>2611</v>
      </c>
      <c r="E422" t="s">
        <v>2612</v>
      </c>
      <c r="F422" t="s">
        <v>2382</v>
      </c>
      <c r="G422" t="s">
        <v>22</v>
      </c>
      <c r="H422" t="s">
        <v>22</v>
      </c>
      <c r="I422" t="s">
        <v>943</v>
      </c>
    </row>
    <row r="423" spans="1:9" ht="11.25" customHeight="1">
      <c r="A423" t="s">
        <v>2374</v>
      </c>
      <c r="B423" t="s">
        <v>16</v>
      </c>
      <c r="C423" t="s">
        <v>2613</v>
      </c>
      <c r="D423" t="s">
        <v>2614</v>
      </c>
      <c r="E423" t="s">
        <v>2615</v>
      </c>
      <c r="F423" t="s">
        <v>2616</v>
      </c>
      <c r="G423" t="s">
        <v>22</v>
      </c>
      <c r="H423" t="s">
        <v>22</v>
      </c>
      <c r="I423" t="s">
        <v>943</v>
      </c>
    </row>
    <row r="424" spans="1:9" ht="11.25" customHeight="1">
      <c r="A424" t="s">
        <v>2374</v>
      </c>
      <c r="B424" t="s">
        <v>16</v>
      </c>
      <c r="C424" t="s">
        <v>2617</v>
      </c>
      <c r="D424" t="s">
        <v>2618</v>
      </c>
      <c r="E424" t="s">
        <v>2619</v>
      </c>
      <c r="F424" t="s">
        <v>2382</v>
      </c>
      <c r="G424" t="s">
        <v>2620</v>
      </c>
      <c r="H424" t="s">
        <v>22</v>
      </c>
      <c r="I424" t="s">
        <v>943</v>
      </c>
    </row>
    <row r="425" spans="1:9" ht="11.25" customHeight="1">
      <c r="A425" t="s">
        <v>2374</v>
      </c>
      <c r="B425" t="s">
        <v>16</v>
      </c>
      <c r="C425" t="s">
        <v>2628</v>
      </c>
      <c r="D425" t="s">
        <v>2629</v>
      </c>
      <c r="E425" t="s">
        <v>2630</v>
      </c>
      <c r="F425" t="s">
        <v>2432</v>
      </c>
      <c r="G425" t="s">
        <v>2631</v>
      </c>
      <c r="H425" t="s">
        <v>22</v>
      </c>
      <c r="I425" t="s">
        <v>943</v>
      </c>
    </row>
    <row r="426" spans="1:9" ht="11.25" customHeight="1">
      <c r="A426" t="s">
        <v>2374</v>
      </c>
      <c r="B426" t="s">
        <v>16</v>
      </c>
      <c r="C426" t="s">
        <v>2632</v>
      </c>
      <c r="D426" t="s">
        <v>2633</v>
      </c>
      <c r="E426" t="s">
        <v>2634</v>
      </c>
      <c r="F426" t="s">
        <v>2402</v>
      </c>
      <c r="G426" t="s">
        <v>2635</v>
      </c>
      <c r="H426" t="s">
        <v>22</v>
      </c>
      <c r="I426" t="s">
        <v>943</v>
      </c>
    </row>
    <row r="427" spans="1:9" ht="11.25" customHeight="1">
      <c r="A427" t="s">
        <v>2374</v>
      </c>
      <c r="B427" t="s">
        <v>16</v>
      </c>
      <c r="C427" t="s">
        <v>2636</v>
      </c>
      <c r="D427" t="s">
        <v>2637</v>
      </c>
      <c r="E427" t="s">
        <v>2638</v>
      </c>
      <c r="F427" t="s">
        <v>2382</v>
      </c>
      <c r="G427" t="s">
        <v>2639</v>
      </c>
      <c r="H427" t="s">
        <v>22</v>
      </c>
      <c r="I427" t="s">
        <v>943</v>
      </c>
    </row>
    <row r="428" spans="1:9" ht="11.25" customHeight="1">
      <c r="A428" t="s">
        <v>2374</v>
      </c>
      <c r="B428" t="s">
        <v>16</v>
      </c>
      <c r="C428" t="s">
        <v>2640</v>
      </c>
      <c r="D428" t="s">
        <v>2641</v>
      </c>
      <c r="E428" t="s">
        <v>2642</v>
      </c>
      <c r="F428" t="s">
        <v>2598</v>
      </c>
      <c r="G428" t="s">
        <v>22</v>
      </c>
      <c r="H428" t="s">
        <v>22</v>
      </c>
      <c r="I428" t="s">
        <v>943</v>
      </c>
    </row>
    <row r="429" spans="1:9" ht="11.25" customHeight="1">
      <c r="A429" t="s">
        <v>2374</v>
      </c>
      <c r="B429" t="s">
        <v>16</v>
      </c>
      <c r="C429" t="s">
        <v>2657</v>
      </c>
      <c r="D429" t="s">
        <v>2658</v>
      </c>
      <c r="E429" t="s">
        <v>2659</v>
      </c>
      <c r="F429" t="s">
        <v>2539</v>
      </c>
      <c r="G429" t="s">
        <v>22</v>
      </c>
      <c r="H429" t="s">
        <v>22</v>
      </c>
      <c r="I429" t="s">
        <v>943</v>
      </c>
    </row>
    <row r="430" spans="1:9" ht="11.25" customHeight="1">
      <c r="A430" t="s">
        <v>2374</v>
      </c>
      <c r="B430" t="s">
        <v>16</v>
      </c>
      <c r="C430" t="s">
        <v>3042</v>
      </c>
      <c r="D430" t="s">
        <v>3043</v>
      </c>
      <c r="E430" t="s">
        <v>2503</v>
      </c>
      <c r="F430" t="s">
        <v>3044</v>
      </c>
      <c r="G430" t="s">
        <v>22</v>
      </c>
      <c r="H430" t="s">
        <v>22</v>
      </c>
      <c r="I430" t="s">
        <v>943</v>
      </c>
    </row>
    <row r="431" spans="1:9" ht="11.25" customHeight="1">
      <c r="A431" t="s">
        <v>2374</v>
      </c>
      <c r="B431" t="s">
        <v>16</v>
      </c>
      <c r="C431" t="s">
        <v>3045</v>
      </c>
      <c r="D431" t="s">
        <v>3046</v>
      </c>
      <c r="E431" t="s">
        <v>3047</v>
      </c>
      <c r="F431" t="s">
        <v>2436</v>
      </c>
      <c r="G431" t="s">
        <v>3048</v>
      </c>
      <c r="H431" t="s">
        <v>22</v>
      </c>
      <c r="I431" t="s">
        <v>943</v>
      </c>
    </row>
    <row r="432" spans="1:9" ht="11.25" customHeight="1">
      <c r="A432" t="s">
        <v>2374</v>
      </c>
      <c r="B432" t="s">
        <v>16</v>
      </c>
      <c r="C432" t="s">
        <v>2678</v>
      </c>
      <c r="D432" t="s">
        <v>2679</v>
      </c>
      <c r="E432" t="s">
        <v>2680</v>
      </c>
      <c r="F432" t="s">
        <v>2681</v>
      </c>
      <c r="G432" t="s">
        <v>2682</v>
      </c>
      <c r="H432" t="s">
        <v>22</v>
      </c>
      <c r="I432" t="s">
        <v>943</v>
      </c>
    </row>
    <row r="433" spans="1:9" ht="11.25" customHeight="1">
      <c r="A433" t="s">
        <v>2374</v>
      </c>
      <c r="B433" t="s">
        <v>16</v>
      </c>
      <c r="C433" t="s">
        <v>2683</v>
      </c>
      <c r="D433" t="s">
        <v>2679</v>
      </c>
      <c r="E433" t="s">
        <v>2680</v>
      </c>
      <c r="F433" t="s">
        <v>2684</v>
      </c>
      <c r="G433" t="s">
        <v>22</v>
      </c>
      <c r="H433" t="s">
        <v>22</v>
      </c>
      <c r="I433" t="s">
        <v>943</v>
      </c>
    </row>
    <row r="434" spans="1:9" ht="11.25" customHeight="1">
      <c r="A434" t="s">
        <v>2374</v>
      </c>
      <c r="B434" t="s">
        <v>16</v>
      </c>
      <c r="C434" t="s">
        <v>2688</v>
      </c>
      <c r="D434" t="s">
        <v>2689</v>
      </c>
      <c r="E434" t="s">
        <v>2377</v>
      </c>
      <c r="F434" t="s">
        <v>2690</v>
      </c>
      <c r="G434" t="s">
        <v>22</v>
      </c>
      <c r="H434" t="s">
        <v>22</v>
      </c>
      <c r="I434" t="s">
        <v>943</v>
      </c>
    </row>
    <row r="435" spans="1:9" ht="11.25" customHeight="1">
      <c r="A435" t="s">
        <v>2374</v>
      </c>
      <c r="B435" t="s">
        <v>16</v>
      </c>
      <c r="C435" t="s">
        <v>2691</v>
      </c>
      <c r="D435" t="s">
        <v>2692</v>
      </c>
      <c r="E435" t="s">
        <v>2377</v>
      </c>
      <c r="F435" t="s">
        <v>2693</v>
      </c>
      <c r="G435" t="s">
        <v>22</v>
      </c>
      <c r="H435" t="s">
        <v>22</v>
      </c>
      <c r="I435" t="s">
        <v>943</v>
      </c>
    </row>
    <row r="436" spans="1:9" ht="11.25" customHeight="1">
      <c r="A436" t="s">
        <v>2374</v>
      </c>
      <c r="B436" t="s">
        <v>16</v>
      </c>
      <c r="C436" t="s">
        <v>2694</v>
      </c>
      <c r="D436" t="s">
        <v>2695</v>
      </c>
      <c r="E436" t="s">
        <v>2377</v>
      </c>
      <c r="F436" t="s">
        <v>2696</v>
      </c>
      <c r="G436" t="s">
        <v>22</v>
      </c>
      <c r="H436" t="s">
        <v>22</v>
      </c>
      <c r="I436" t="s">
        <v>943</v>
      </c>
    </row>
    <row r="437" spans="1:9" ht="11.25" customHeight="1">
      <c r="A437" t="s">
        <v>2374</v>
      </c>
      <c r="B437" t="s">
        <v>16</v>
      </c>
      <c r="C437" t="s">
        <v>2697</v>
      </c>
      <c r="D437" t="s">
        <v>2698</v>
      </c>
      <c r="E437" t="s">
        <v>2377</v>
      </c>
      <c r="F437" t="s">
        <v>2699</v>
      </c>
      <c r="G437" t="s">
        <v>22</v>
      </c>
      <c r="H437" t="s">
        <v>22</v>
      </c>
      <c r="I437" t="s">
        <v>943</v>
      </c>
    </row>
    <row r="438" spans="1:9" ht="11.25" customHeight="1">
      <c r="A438" t="s">
        <v>2374</v>
      </c>
      <c r="B438" t="s">
        <v>16</v>
      </c>
      <c r="C438" t="s">
        <v>2700</v>
      </c>
      <c r="D438" t="s">
        <v>2701</v>
      </c>
      <c r="E438" t="s">
        <v>2377</v>
      </c>
      <c r="F438" t="s">
        <v>2702</v>
      </c>
      <c r="G438" t="s">
        <v>22</v>
      </c>
      <c r="H438" t="s">
        <v>22</v>
      </c>
      <c r="I438" t="s">
        <v>943</v>
      </c>
    </row>
    <row r="439" spans="1:9" ht="11.25" customHeight="1">
      <c r="A439" t="s">
        <v>2374</v>
      </c>
      <c r="B439" t="s">
        <v>16</v>
      </c>
      <c r="C439" t="s">
        <v>2703</v>
      </c>
      <c r="D439" t="s">
        <v>2704</v>
      </c>
      <c r="E439" t="s">
        <v>2377</v>
      </c>
      <c r="F439" t="s">
        <v>2705</v>
      </c>
      <c r="G439" t="s">
        <v>22</v>
      </c>
      <c r="H439" t="s">
        <v>22</v>
      </c>
      <c r="I439" t="s">
        <v>943</v>
      </c>
    </row>
    <row r="440" spans="1:9" ht="11.25" customHeight="1">
      <c r="A440" t="s">
        <v>2374</v>
      </c>
      <c r="B440" t="s">
        <v>16</v>
      </c>
      <c r="C440" t="s">
        <v>2706</v>
      </c>
      <c r="D440" t="s">
        <v>2707</v>
      </c>
      <c r="E440" t="s">
        <v>2377</v>
      </c>
      <c r="F440" t="s">
        <v>2708</v>
      </c>
      <c r="G440" t="s">
        <v>22</v>
      </c>
      <c r="H440" t="s">
        <v>22</v>
      </c>
      <c r="I440" t="s">
        <v>943</v>
      </c>
    </row>
    <row r="441" spans="1:9" ht="11.25" customHeight="1">
      <c r="A441" t="s">
        <v>2374</v>
      </c>
      <c r="B441" t="s">
        <v>16</v>
      </c>
      <c r="C441" t="s">
        <v>2709</v>
      </c>
      <c r="D441" t="s">
        <v>2710</v>
      </c>
      <c r="E441" t="s">
        <v>2377</v>
      </c>
      <c r="F441" t="s">
        <v>2711</v>
      </c>
      <c r="G441" t="s">
        <v>22</v>
      </c>
      <c r="H441" t="s">
        <v>22</v>
      </c>
      <c r="I441" t="s">
        <v>943</v>
      </c>
    </row>
    <row r="442" spans="1:9" ht="11.25" customHeight="1">
      <c r="A442" t="s">
        <v>2374</v>
      </c>
      <c r="B442" t="s">
        <v>16</v>
      </c>
      <c r="C442" t="s">
        <v>2712</v>
      </c>
      <c r="D442" t="s">
        <v>2713</v>
      </c>
      <c r="E442" t="s">
        <v>2377</v>
      </c>
      <c r="F442" t="s">
        <v>2714</v>
      </c>
      <c r="G442" t="s">
        <v>22</v>
      </c>
      <c r="H442" t="s">
        <v>22</v>
      </c>
      <c r="I442" t="s">
        <v>943</v>
      </c>
    </row>
    <row r="443" spans="1:9" ht="11.25" customHeight="1">
      <c r="A443" t="s">
        <v>2374</v>
      </c>
      <c r="B443" t="s">
        <v>16</v>
      </c>
      <c r="C443" t="s">
        <v>2715</v>
      </c>
      <c r="D443" t="s">
        <v>2716</v>
      </c>
      <c r="E443" t="s">
        <v>2717</v>
      </c>
      <c r="F443" t="s">
        <v>2718</v>
      </c>
      <c r="G443" t="s">
        <v>22</v>
      </c>
      <c r="H443" t="s">
        <v>22</v>
      </c>
      <c r="I443" t="s">
        <v>943</v>
      </c>
    </row>
    <row r="444" spans="1:9" ht="11.25" customHeight="1">
      <c r="A444" t="s">
        <v>2374</v>
      </c>
      <c r="B444" t="s">
        <v>16</v>
      </c>
      <c r="C444" t="s">
        <v>2719</v>
      </c>
      <c r="D444" t="s">
        <v>2720</v>
      </c>
      <c r="E444" t="s">
        <v>2717</v>
      </c>
      <c r="F444" t="s">
        <v>2721</v>
      </c>
      <c r="G444" t="s">
        <v>22</v>
      </c>
      <c r="H444" t="s">
        <v>22</v>
      </c>
      <c r="I444" t="s">
        <v>943</v>
      </c>
    </row>
    <row r="445" spans="1:9" ht="11.25" customHeight="1">
      <c r="A445" t="s">
        <v>2374</v>
      </c>
      <c r="B445" t="s">
        <v>16</v>
      </c>
      <c r="C445" t="s">
        <v>2722</v>
      </c>
      <c r="D445" t="s">
        <v>2723</v>
      </c>
      <c r="E445" t="s">
        <v>2717</v>
      </c>
      <c r="F445" t="s">
        <v>2724</v>
      </c>
      <c r="G445" t="s">
        <v>22</v>
      </c>
      <c r="H445" t="s">
        <v>22</v>
      </c>
      <c r="I445" t="s">
        <v>943</v>
      </c>
    </row>
    <row r="446" spans="1:9" ht="11.25" customHeight="1">
      <c r="A446" t="s">
        <v>2374</v>
      </c>
      <c r="B446" t="s">
        <v>16</v>
      </c>
      <c r="C446" t="s">
        <v>2725</v>
      </c>
      <c r="D446" t="s">
        <v>2726</v>
      </c>
      <c r="E446" t="s">
        <v>2727</v>
      </c>
      <c r="F446" t="s">
        <v>2728</v>
      </c>
      <c r="G446" t="s">
        <v>2729</v>
      </c>
      <c r="H446" t="s">
        <v>22</v>
      </c>
      <c r="I446" t="s">
        <v>943</v>
      </c>
    </row>
    <row r="447" spans="1:9" ht="11.25" customHeight="1">
      <c r="A447" t="s">
        <v>2374</v>
      </c>
      <c r="B447" t="s">
        <v>16</v>
      </c>
      <c r="C447" t="s">
        <v>2730</v>
      </c>
      <c r="D447" t="s">
        <v>2731</v>
      </c>
      <c r="E447" t="s">
        <v>2732</v>
      </c>
      <c r="F447" t="s">
        <v>2410</v>
      </c>
      <c r="G447" t="s">
        <v>22</v>
      </c>
      <c r="H447" t="s">
        <v>22</v>
      </c>
      <c r="I447" t="s">
        <v>943</v>
      </c>
    </row>
    <row r="448" spans="1:9" ht="11.25" customHeight="1">
      <c r="A448" t="s">
        <v>2374</v>
      </c>
      <c r="B448" t="s">
        <v>16</v>
      </c>
      <c r="C448" t="s">
        <v>2739</v>
      </c>
      <c r="D448" t="s">
        <v>2740</v>
      </c>
      <c r="E448" t="s">
        <v>2385</v>
      </c>
      <c r="F448" t="s">
        <v>2741</v>
      </c>
      <c r="G448" t="s">
        <v>22</v>
      </c>
      <c r="H448" t="s">
        <v>22</v>
      </c>
      <c r="I448" t="s">
        <v>943</v>
      </c>
    </row>
    <row r="449" spans="1:9" ht="11.25" customHeight="1">
      <c r="A449" t="s">
        <v>2374</v>
      </c>
      <c r="B449" t="s">
        <v>16</v>
      </c>
      <c r="C449" t="s">
        <v>3049</v>
      </c>
      <c r="D449" t="s">
        <v>3050</v>
      </c>
      <c r="E449" t="s">
        <v>2385</v>
      </c>
      <c r="F449" t="s">
        <v>3051</v>
      </c>
      <c r="G449" t="s">
        <v>22</v>
      </c>
      <c r="H449" t="s">
        <v>22</v>
      </c>
      <c r="I449" t="s">
        <v>943</v>
      </c>
    </row>
    <row r="450" spans="1:9" ht="11.25" customHeight="1">
      <c r="A450" t="s">
        <v>2374</v>
      </c>
      <c r="B450" t="s">
        <v>16</v>
      </c>
      <c r="C450" t="s">
        <v>2744</v>
      </c>
      <c r="D450" t="s">
        <v>2745</v>
      </c>
      <c r="E450" t="s">
        <v>2746</v>
      </c>
      <c r="F450" t="s">
        <v>2747</v>
      </c>
      <c r="G450" t="s">
        <v>22</v>
      </c>
      <c r="H450" t="s">
        <v>22</v>
      </c>
      <c r="I450" t="s">
        <v>943</v>
      </c>
    </row>
    <row r="451" spans="1:9" ht="11.25" customHeight="1">
      <c r="A451" t="s">
        <v>2374</v>
      </c>
      <c r="B451" t="s">
        <v>16</v>
      </c>
      <c r="C451" t="s">
        <v>2748</v>
      </c>
      <c r="D451" t="s">
        <v>2745</v>
      </c>
      <c r="E451" t="s">
        <v>2746</v>
      </c>
      <c r="F451" t="s">
        <v>2749</v>
      </c>
      <c r="G451" t="s">
        <v>2750</v>
      </c>
      <c r="H451" t="s">
        <v>22</v>
      </c>
      <c r="I451" t="s">
        <v>943</v>
      </c>
    </row>
    <row r="452" spans="1:9" ht="11.25" customHeight="1">
      <c r="A452" t="s">
        <v>2374</v>
      </c>
      <c r="B452" t="s">
        <v>16</v>
      </c>
      <c r="C452" t="s">
        <v>2755</v>
      </c>
      <c r="D452" t="s">
        <v>2756</v>
      </c>
      <c r="E452" t="s">
        <v>2757</v>
      </c>
      <c r="F452" t="s">
        <v>2432</v>
      </c>
      <c r="G452" t="s">
        <v>22</v>
      </c>
      <c r="H452" t="s">
        <v>22</v>
      </c>
      <c r="I452" t="s">
        <v>943</v>
      </c>
    </row>
    <row r="453" spans="1:9" ht="11.25" customHeight="1">
      <c r="A453" t="s">
        <v>2374</v>
      </c>
      <c r="B453" t="s">
        <v>16</v>
      </c>
      <c r="C453" t="s">
        <v>2758</v>
      </c>
      <c r="D453" t="s">
        <v>2759</v>
      </c>
      <c r="E453" t="s">
        <v>2760</v>
      </c>
      <c r="F453" t="s">
        <v>2420</v>
      </c>
      <c r="G453" t="s">
        <v>22</v>
      </c>
      <c r="H453" t="s">
        <v>22</v>
      </c>
      <c r="I453" t="s">
        <v>943</v>
      </c>
    </row>
    <row r="454" spans="1:9" ht="11.25" customHeight="1">
      <c r="A454" t="s">
        <v>2374</v>
      </c>
      <c r="B454" t="s">
        <v>16</v>
      </c>
      <c r="C454" t="s">
        <v>2761</v>
      </c>
      <c r="D454" t="s">
        <v>2762</v>
      </c>
      <c r="E454" t="s">
        <v>2763</v>
      </c>
      <c r="F454" t="s">
        <v>2468</v>
      </c>
      <c r="G454" t="s">
        <v>22</v>
      </c>
      <c r="H454" t="s">
        <v>22</v>
      </c>
      <c r="I454" t="s">
        <v>943</v>
      </c>
    </row>
    <row r="455" spans="1:9" ht="11.25" customHeight="1">
      <c r="A455" t="s">
        <v>2374</v>
      </c>
      <c r="B455" t="s">
        <v>16</v>
      </c>
      <c r="C455" t="s">
        <v>2770</v>
      </c>
      <c r="D455" t="s">
        <v>2771</v>
      </c>
      <c r="E455" t="s">
        <v>2772</v>
      </c>
      <c r="F455" t="s">
        <v>2382</v>
      </c>
      <c r="G455" t="s">
        <v>2773</v>
      </c>
      <c r="H455" t="s">
        <v>22</v>
      </c>
      <c r="I455" t="s">
        <v>943</v>
      </c>
    </row>
    <row r="456" spans="1:9" ht="11.25" customHeight="1">
      <c r="A456" t="s">
        <v>2374</v>
      </c>
      <c r="B456" t="s">
        <v>16</v>
      </c>
      <c r="C456" t="s">
        <v>2774</v>
      </c>
      <c r="D456" t="s">
        <v>2775</v>
      </c>
      <c r="E456" t="s">
        <v>2776</v>
      </c>
      <c r="F456" t="s">
        <v>2777</v>
      </c>
      <c r="G456" t="s">
        <v>22</v>
      </c>
      <c r="H456" t="s">
        <v>22</v>
      </c>
      <c r="I456" t="s">
        <v>943</v>
      </c>
    </row>
    <row r="457" spans="1:9" ht="11.25" customHeight="1">
      <c r="A457" t="s">
        <v>2374</v>
      </c>
      <c r="B457" t="s">
        <v>16</v>
      </c>
      <c r="C457" t="s">
        <v>2778</v>
      </c>
      <c r="D457" t="s">
        <v>2779</v>
      </c>
      <c r="E457" t="s">
        <v>2780</v>
      </c>
      <c r="F457" t="s">
        <v>51</v>
      </c>
      <c r="G457" t="s">
        <v>2781</v>
      </c>
      <c r="H457" t="s">
        <v>22</v>
      </c>
      <c r="I457" t="s">
        <v>943</v>
      </c>
    </row>
    <row r="458" spans="1:9" ht="11.25" customHeight="1">
      <c r="A458" t="s">
        <v>2374</v>
      </c>
      <c r="B458" t="s">
        <v>16</v>
      </c>
      <c r="C458" t="s">
        <v>2782</v>
      </c>
      <c r="D458" t="s">
        <v>2783</v>
      </c>
      <c r="E458" t="s">
        <v>2784</v>
      </c>
      <c r="F458" t="s">
        <v>2591</v>
      </c>
      <c r="G458" t="s">
        <v>22</v>
      </c>
      <c r="H458" t="s">
        <v>22</v>
      </c>
      <c r="I458" t="s">
        <v>943</v>
      </c>
    </row>
    <row r="459" spans="1:9" ht="11.25" customHeight="1">
      <c r="A459" t="s">
        <v>2374</v>
      </c>
      <c r="B459" t="s">
        <v>16</v>
      </c>
      <c r="C459" t="s">
        <v>3058</v>
      </c>
      <c r="D459" t="s">
        <v>3059</v>
      </c>
      <c r="E459" t="s">
        <v>3060</v>
      </c>
      <c r="F459" t="s">
        <v>2432</v>
      </c>
      <c r="G459" t="s">
        <v>22</v>
      </c>
      <c r="H459" t="s">
        <v>22</v>
      </c>
      <c r="I459" t="s">
        <v>943</v>
      </c>
    </row>
    <row r="460" spans="1:9" ht="11.25" customHeight="1">
      <c r="A460" t="s">
        <v>2374</v>
      </c>
      <c r="B460" t="s">
        <v>16</v>
      </c>
      <c r="C460" t="s">
        <v>2795</v>
      </c>
      <c r="D460" t="s">
        <v>2796</v>
      </c>
      <c r="E460" t="s">
        <v>2797</v>
      </c>
      <c r="F460" t="s">
        <v>2591</v>
      </c>
      <c r="G460" t="s">
        <v>22</v>
      </c>
      <c r="H460" t="s">
        <v>22</v>
      </c>
      <c r="I460" t="s">
        <v>943</v>
      </c>
    </row>
    <row r="461" spans="1:9" ht="11.25" customHeight="1">
      <c r="A461" t="s">
        <v>2374</v>
      </c>
      <c r="B461" t="s">
        <v>16</v>
      </c>
      <c r="C461" t="s">
        <v>2798</v>
      </c>
      <c r="D461" t="s">
        <v>2799</v>
      </c>
      <c r="E461" t="s">
        <v>2800</v>
      </c>
      <c r="F461" t="s">
        <v>2777</v>
      </c>
      <c r="G461" t="s">
        <v>22</v>
      </c>
      <c r="H461" t="s">
        <v>22</v>
      </c>
      <c r="I461" t="s">
        <v>943</v>
      </c>
    </row>
    <row r="462" spans="1:9" ht="11.25" customHeight="1">
      <c r="A462" t="s">
        <v>2374</v>
      </c>
      <c r="B462" t="s">
        <v>16</v>
      </c>
      <c r="C462" t="s">
        <v>2815</v>
      </c>
      <c r="D462" t="s">
        <v>2816</v>
      </c>
      <c r="E462" t="s">
        <v>2817</v>
      </c>
      <c r="F462" t="s">
        <v>2818</v>
      </c>
      <c r="G462" t="s">
        <v>2819</v>
      </c>
      <c r="H462" t="s">
        <v>22</v>
      </c>
      <c r="I462" t="s">
        <v>943</v>
      </c>
    </row>
    <row r="463" spans="1:9" ht="11.25" customHeight="1">
      <c r="A463" t="s">
        <v>2374</v>
      </c>
      <c r="B463" t="s">
        <v>16</v>
      </c>
      <c r="C463" t="s">
        <v>2820</v>
      </c>
      <c r="D463" t="s">
        <v>2821</v>
      </c>
      <c r="E463" t="s">
        <v>2822</v>
      </c>
      <c r="F463" t="s">
        <v>2777</v>
      </c>
      <c r="G463" t="s">
        <v>22</v>
      </c>
      <c r="H463" t="s">
        <v>22</v>
      </c>
      <c r="I463" t="s">
        <v>943</v>
      </c>
    </row>
    <row r="464" spans="1:9" ht="11.25" customHeight="1">
      <c r="A464" t="s">
        <v>2374</v>
      </c>
      <c r="B464" t="s">
        <v>16</v>
      </c>
      <c r="C464" t="s">
        <v>2833</v>
      </c>
      <c r="D464" t="s">
        <v>2834</v>
      </c>
      <c r="E464" t="s">
        <v>2377</v>
      </c>
      <c r="F464" t="s">
        <v>2835</v>
      </c>
      <c r="G464" t="s">
        <v>22</v>
      </c>
      <c r="H464" t="s">
        <v>22</v>
      </c>
      <c r="I464" t="s">
        <v>943</v>
      </c>
    </row>
    <row r="465" spans="1:9" ht="11.25" customHeight="1">
      <c r="A465" t="s">
        <v>2374</v>
      </c>
      <c r="B465" t="s">
        <v>16</v>
      </c>
      <c r="C465" t="s">
        <v>3061</v>
      </c>
      <c r="D465" t="s">
        <v>3062</v>
      </c>
      <c r="E465" t="s">
        <v>2521</v>
      </c>
      <c r="F465" t="s">
        <v>3063</v>
      </c>
      <c r="G465" t="s">
        <v>22</v>
      </c>
      <c r="H465" t="s">
        <v>22</v>
      </c>
      <c r="I465" t="s">
        <v>943</v>
      </c>
    </row>
    <row r="466" spans="1:9" ht="11.25" customHeight="1">
      <c r="A466" t="s">
        <v>2374</v>
      </c>
      <c r="B466" t="s">
        <v>16</v>
      </c>
      <c r="C466" t="s">
        <v>3064</v>
      </c>
      <c r="D466" t="s">
        <v>3065</v>
      </c>
      <c r="E466" t="s">
        <v>2521</v>
      </c>
      <c r="F466" t="s">
        <v>51</v>
      </c>
      <c r="G466" t="s">
        <v>22</v>
      </c>
      <c r="H466" t="s">
        <v>22</v>
      </c>
      <c r="I466" t="s">
        <v>943</v>
      </c>
    </row>
    <row r="467" spans="1:9" ht="11.25" customHeight="1">
      <c r="A467" t="s">
        <v>2374</v>
      </c>
      <c r="B467" t="s">
        <v>16</v>
      </c>
      <c r="C467" t="s">
        <v>2845</v>
      </c>
      <c r="D467" t="s">
        <v>2846</v>
      </c>
      <c r="E467" t="s">
        <v>2847</v>
      </c>
      <c r="F467" t="s">
        <v>2848</v>
      </c>
      <c r="G467" t="s">
        <v>2849</v>
      </c>
      <c r="H467" t="s">
        <v>22</v>
      </c>
      <c r="I467" t="s">
        <v>943</v>
      </c>
    </row>
    <row r="468" spans="1:9" ht="11.25" customHeight="1">
      <c r="A468" t="s">
        <v>2374</v>
      </c>
      <c r="B468" t="s">
        <v>16</v>
      </c>
      <c r="C468" t="s">
        <v>2860</v>
      </c>
      <c r="D468" t="s">
        <v>2861</v>
      </c>
      <c r="E468" t="s">
        <v>2862</v>
      </c>
      <c r="F468" t="s">
        <v>2479</v>
      </c>
      <c r="G468" t="s">
        <v>22</v>
      </c>
      <c r="H468" t="s">
        <v>22</v>
      </c>
      <c r="I468" t="s">
        <v>943</v>
      </c>
    </row>
    <row r="469" spans="1:9" ht="11.25" customHeight="1">
      <c r="A469" t="s">
        <v>2374</v>
      </c>
      <c r="B469" t="s">
        <v>16</v>
      </c>
      <c r="C469" t="s">
        <v>3115</v>
      </c>
      <c r="D469" t="s">
        <v>3116</v>
      </c>
      <c r="E469" t="s">
        <v>3117</v>
      </c>
      <c r="F469" t="s">
        <v>2432</v>
      </c>
      <c r="G469" t="s">
        <v>22</v>
      </c>
      <c r="H469" t="s">
        <v>22</v>
      </c>
      <c r="I469" t="s">
        <v>943</v>
      </c>
    </row>
    <row r="470" spans="1:9" ht="11.25" customHeight="1">
      <c r="A470" t="s">
        <v>2374</v>
      </c>
      <c r="B470" t="s">
        <v>16</v>
      </c>
      <c r="C470" t="s">
        <v>2881</v>
      </c>
      <c r="D470" t="s">
        <v>2882</v>
      </c>
      <c r="E470" t="s">
        <v>2883</v>
      </c>
      <c r="F470" t="s">
        <v>2479</v>
      </c>
      <c r="G470" t="s">
        <v>22</v>
      </c>
      <c r="H470" t="s">
        <v>22</v>
      </c>
      <c r="I470" t="s">
        <v>943</v>
      </c>
    </row>
    <row r="471" spans="1:9" ht="11.25" customHeight="1">
      <c r="A471" t="s">
        <v>2374</v>
      </c>
      <c r="B471" t="s">
        <v>16</v>
      </c>
      <c r="C471" t="s">
        <v>2888</v>
      </c>
      <c r="D471" t="s">
        <v>2889</v>
      </c>
      <c r="E471" t="s">
        <v>2890</v>
      </c>
      <c r="F471" t="s">
        <v>2479</v>
      </c>
      <c r="G471" t="s">
        <v>22</v>
      </c>
      <c r="H471" t="s">
        <v>22</v>
      </c>
      <c r="I471" t="s">
        <v>943</v>
      </c>
    </row>
    <row r="472" spans="1:9" ht="11.25" customHeight="1">
      <c r="A472" t="s">
        <v>2374</v>
      </c>
      <c r="B472" t="s">
        <v>16</v>
      </c>
      <c r="C472" t="s">
        <v>2891</v>
      </c>
      <c r="D472" t="s">
        <v>2892</v>
      </c>
      <c r="E472" t="s">
        <v>2746</v>
      </c>
      <c r="F472" t="s">
        <v>2893</v>
      </c>
      <c r="G472" t="s">
        <v>22</v>
      </c>
      <c r="H472" t="s">
        <v>22</v>
      </c>
      <c r="I472" t="s">
        <v>943</v>
      </c>
    </row>
    <row r="473" spans="1:9" ht="11.25" customHeight="1">
      <c r="A473" t="s">
        <v>2374</v>
      </c>
      <c r="B473" t="s">
        <v>16</v>
      </c>
      <c r="C473" t="s">
        <v>2898</v>
      </c>
      <c r="D473" t="s">
        <v>2899</v>
      </c>
      <c r="E473" t="s">
        <v>2900</v>
      </c>
      <c r="F473" t="s">
        <v>2479</v>
      </c>
      <c r="G473" t="s">
        <v>22</v>
      </c>
      <c r="H473" t="s">
        <v>2901</v>
      </c>
      <c r="I473" t="s">
        <v>943</v>
      </c>
    </row>
    <row r="474" spans="1:9" ht="11.25" customHeight="1">
      <c r="A474" t="s">
        <v>2374</v>
      </c>
      <c r="B474" t="s">
        <v>16</v>
      </c>
      <c r="C474" t="s">
        <v>2902</v>
      </c>
      <c r="D474" t="s">
        <v>2903</v>
      </c>
      <c r="E474" t="s">
        <v>2904</v>
      </c>
      <c r="F474" t="s">
        <v>2444</v>
      </c>
      <c r="G474" t="s">
        <v>2905</v>
      </c>
      <c r="H474" t="s">
        <v>22</v>
      </c>
      <c r="I474" t="s">
        <v>943</v>
      </c>
    </row>
    <row r="475" spans="1:9" ht="11.25" customHeight="1">
      <c r="A475" t="s">
        <v>2374</v>
      </c>
      <c r="B475" t="s">
        <v>16</v>
      </c>
      <c r="C475" t="s">
        <v>3072</v>
      </c>
      <c r="D475" t="s">
        <v>3073</v>
      </c>
      <c r="E475" t="s">
        <v>3074</v>
      </c>
      <c r="F475" t="s">
        <v>2410</v>
      </c>
      <c r="G475" t="s">
        <v>22</v>
      </c>
      <c r="H475" t="s">
        <v>22</v>
      </c>
      <c r="I475" t="s">
        <v>943</v>
      </c>
    </row>
    <row r="476" spans="1:9" ht="11.25" customHeight="1">
      <c r="A476" t="s">
        <v>2374</v>
      </c>
      <c r="B476" t="s">
        <v>16</v>
      </c>
      <c r="C476" t="s">
        <v>2906</v>
      </c>
      <c r="D476" t="s">
        <v>2907</v>
      </c>
      <c r="E476" t="s">
        <v>2908</v>
      </c>
      <c r="F476" t="s">
        <v>2432</v>
      </c>
      <c r="G476" t="s">
        <v>2909</v>
      </c>
      <c r="H476" t="s">
        <v>22</v>
      </c>
      <c r="I476" t="s">
        <v>943</v>
      </c>
    </row>
    <row r="477" spans="1:9" ht="11.25" customHeight="1">
      <c r="A477" t="s">
        <v>2374</v>
      </c>
      <c r="B477" t="s">
        <v>16</v>
      </c>
      <c r="C477" t="s">
        <v>3078</v>
      </c>
      <c r="D477" t="s">
        <v>3079</v>
      </c>
      <c r="E477" t="s">
        <v>3080</v>
      </c>
      <c r="F477" t="s">
        <v>3081</v>
      </c>
      <c r="G477" t="s">
        <v>22</v>
      </c>
      <c r="H477" t="s">
        <v>22</v>
      </c>
      <c r="I477" t="s">
        <v>943</v>
      </c>
    </row>
    <row r="478" spans="1:9" ht="11.25" customHeight="1">
      <c r="A478" t="s">
        <v>2374</v>
      </c>
      <c r="B478" t="s">
        <v>16</v>
      </c>
      <c r="C478" t="s">
        <v>3085</v>
      </c>
      <c r="D478" t="s">
        <v>3086</v>
      </c>
      <c r="E478" t="s">
        <v>3087</v>
      </c>
      <c r="F478" t="s">
        <v>2424</v>
      </c>
      <c r="G478" t="s">
        <v>22</v>
      </c>
      <c r="H478" t="s">
        <v>22</v>
      </c>
      <c r="I478" t="s">
        <v>943</v>
      </c>
    </row>
    <row r="479" spans="1:9" ht="11.25" customHeight="1">
      <c r="A479" t="s">
        <v>2374</v>
      </c>
      <c r="B479" t="s">
        <v>16</v>
      </c>
      <c r="C479" t="s">
        <v>3118</v>
      </c>
      <c r="D479" t="s">
        <v>3119</v>
      </c>
      <c r="E479" t="s">
        <v>3120</v>
      </c>
      <c r="F479" t="s">
        <v>2436</v>
      </c>
      <c r="G479" t="s">
        <v>22</v>
      </c>
      <c r="H479" t="s">
        <v>22</v>
      </c>
      <c r="I479" t="s">
        <v>943</v>
      </c>
    </row>
    <row r="480" spans="1:9" ht="11.25" customHeight="1">
      <c r="A480" t="s">
        <v>2374</v>
      </c>
      <c r="B480" t="s">
        <v>16</v>
      </c>
      <c r="C480" t="s">
        <v>2927</v>
      </c>
      <c r="D480" t="s">
        <v>2928</v>
      </c>
      <c r="E480" t="s">
        <v>2929</v>
      </c>
      <c r="F480" t="s">
        <v>2930</v>
      </c>
      <c r="G480" t="s">
        <v>22</v>
      </c>
      <c r="H480" t="s">
        <v>22</v>
      </c>
      <c r="I480" t="s">
        <v>943</v>
      </c>
    </row>
    <row r="481" spans="1:9" ht="11.25" customHeight="1">
      <c r="A481" t="s">
        <v>2374</v>
      </c>
      <c r="B481" t="s">
        <v>16</v>
      </c>
      <c r="C481" t="s">
        <v>3088</v>
      </c>
      <c r="D481" t="s">
        <v>3089</v>
      </c>
      <c r="E481" t="s">
        <v>3090</v>
      </c>
      <c r="F481" t="s">
        <v>51</v>
      </c>
      <c r="G481" t="s">
        <v>3091</v>
      </c>
      <c r="H481" t="s">
        <v>22</v>
      </c>
      <c r="I481" t="s">
        <v>943</v>
      </c>
    </row>
    <row r="482" spans="1:9" ht="11.25" customHeight="1">
      <c r="A482" t="s">
        <v>2374</v>
      </c>
      <c r="B482" t="s">
        <v>16</v>
      </c>
      <c r="C482" t="s">
        <v>2931</v>
      </c>
      <c r="D482" t="s">
        <v>2932</v>
      </c>
      <c r="E482" t="s">
        <v>2933</v>
      </c>
      <c r="F482" t="s">
        <v>51</v>
      </c>
      <c r="G482" t="s">
        <v>22</v>
      </c>
      <c r="H482" t="s">
        <v>22</v>
      </c>
      <c r="I482" t="s">
        <v>943</v>
      </c>
    </row>
    <row r="483" spans="1:9" ht="11.25" customHeight="1">
      <c r="A483" t="s">
        <v>2374</v>
      </c>
      <c r="B483" t="s">
        <v>16</v>
      </c>
      <c r="C483" t="s">
        <v>2937</v>
      </c>
      <c r="D483" t="s">
        <v>2938</v>
      </c>
      <c r="E483" t="s">
        <v>2939</v>
      </c>
      <c r="F483" t="s">
        <v>2940</v>
      </c>
      <c r="G483" t="s">
        <v>22</v>
      </c>
      <c r="H483" t="s">
        <v>22</v>
      </c>
      <c r="I483" t="s">
        <v>943</v>
      </c>
    </row>
    <row r="484" spans="1:9" ht="11.25" customHeight="1">
      <c r="A484" t="s">
        <v>2374</v>
      </c>
      <c r="B484" t="s">
        <v>16</v>
      </c>
      <c r="C484" t="s">
        <v>2941</v>
      </c>
      <c r="D484" t="s">
        <v>2942</v>
      </c>
      <c r="E484" t="s">
        <v>2943</v>
      </c>
      <c r="F484" t="s">
        <v>2468</v>
      </c>
      <c r="G484" t="s">
        <v>2944</v>
      </c>
      <c r="H484" t="s">
        <v>22</v>
      </c>
      <c r="I484" t="s">
        <v>943</v>
      </c>
    </row>
    <row r="485" spans="1:9" ht="11.25" customHeight="1">
      <c r="A485" t="s">
        <v>2374</v>
      </c>
      <c r="B485" t="s">
        <v>16</v>
      </c>
      <c r="C485" t="s">
        <v>2953</v>
      </c>
      <c r="D485" t="s">
        <v>2954</v>
      </c>
      <c r="E485" t="s">
        <v>2955</v>
      </c>
      <c r="F485" t="s">
        <v>2777</v>
      </c>
      <c r="G485" t="s">
        <v>2956</v>
      </c>
      <c r="H485" t="s">
        <v>22</v>
      </c>
      <c r="I485" t="s">
        <v>943</v>
      </c>
    </row>
    <row r="486" spans="1:9" ht="11.25" customHeight="1">
      <c r="A486" t="s">
        <v>2374</v>
      </c>
      <c r="B486" t="s">
        <v>16</v>
      </c>
      <c r="C486" t="s">
        <v>3102</v>
      </c>
      <c r="D486" t="s">
        <v>3103</v>
      </c>
      <c r="E486" t="s">
        <v>3104</v>
      </c>
      <c r="F486" t="s">
        <v>2591</v>
      </c>
      <c r="G486" t="s">
        <v>22</v>
      </c>
      <c r="H486" t="s">
        <v>22</v>
      </c>
      <c r="I486" t="s">
        <v>943</v>
      </c>
    </row>
    <row r="487" spans="1:9" ht="11.25" customHeight="1">
      <c r="A487" t="s">
        <v>2374</v>
      </c>
      <c r="B487" t="s">
        <v>16</v>
      </c>
      <c r="C487" t="s">
        <v>22</v>
      </c>
      <c r="D487" t="s">
        <v>2964</v>
      </c>
      <c r="E487" t="s">
        <v>2965</v>
      </c>
      <c r="F487" t="s">
        <v>2456</v>
      </c>
      <c r="G487" t="s">
        <v>22</v>
      </c>
      <c r="H487" t="s">
        <v>22</v>
      </c>
      <c r="I487" t="s">
        <v>943</v>
      </c>
    </row>
    <row r="488" spans="1:9" ht="11.25" customHeight="1">
      <c r="A488" t="s">
        <v>2374</v>
      </c>
      <c r="B488" t="s">
        <v>16</v>
      </c>
      <c r="C488" t="s">
        <v>22</v>
      </c>
      <c r="D488" t="s">
        <v>2966</v>
      </c>
      <c r="E488" t="s">
        <v>2967</v>
      </c>
      <c r="F488" t="s">
        <v>2444</v>
      </c>
      <c r="G488" t="s">
        <v>22</v>
      </c>
      <c r="H488" t="s">
        <v>22</v>
      </c>
      <c r="I488" t="s">
        <v>943</v>
      </c>
    </row>
    <row r="489" spans="1:9" ht="11.25" customHeight="1">
      <c r="A489" t="s">
        <v>2374</v>
      </c>
      <c r="B489" t="s">
        <v>16</v>
      </c>
      <c r="C489" t="s">
        <v>3105</v>
      </c>
      <c r="D489" t="s">
        <v>3106</v>
      </c>
      <c r="E489" t="s">
        <v>2385</v>
      </c>
      <c r="F489" t="s">
        <v>3107</v>
      </c>
      <c r="G489" t="s">
        <v>22</v>
      </c>
      <c r="H489" t="s">
        <v>22</v>
      </c>
      <c r="I489" t="s">
        <v>943</v>
      </c>
    </row>
    <row r="490" spans="1:9" ht="11.25" customHeight="1">
      <c r="A490" t="s">
        <v>2374</v>
      </c>
      <c r="B490" t="s">
        <v>16</v>
      </c>
      <c r="C490" t="s">
        <v>13</v>
      </c>
      <c r="D490" t="s">
        <v>46</v>
      </c>
      <c r="E490" t="s">
        <v>49</v>
      </c>
      <c r="F490" t="s">
        <v>51</v>
      </c>
      <c r="G490" t="s">
        <v>3108</v>
      </c>
      <c r="H490" t="s">
        <v>22</v>
      </c>
      <c r="I490" t="s">
        <v>943</v>
      </c>
    </row>
    <row r="491" spans="1:9" ht="11.25" customHeight="1">
      <c r="A491" t="s">
        <v>2374</v>
      </c>
      <c r="B491" t="s">
        <v>16</v>
      </c>
      <c r="C491" t="s">
        <v>2977</v>
      </c>
      <c r="D491" t="s">
        <v>2978</v>
      </c>
      <c r="E491" t="s">
        <v>2979</v>
      </c>
      <c r="F491" t="s">
        <v>51</v>
      </c>
      <c r="G491" t="s">
        <v>22</v>
      </c>
      <c r="H491" t="s">
        <v>22</v>
      </c>
      <c r="I491" t="s">
        <v>943</v>
      </c>
    </row>
    <row r="492" spans="1:9" ht="11.25" customHeight="1">
      <c r="A492" t="s">
        <v>2374</v>
      </c>
      <c r="B492" t="s">
        <v>16</v>
      </c>
      <c r="C492" t="s">
        <v>3109</v>
      </c>
      <c r="D492" t="s">
        <v>3110</v>
      </c>
      <c r="E492" t="s">
        <v>3111</v>
      </c>
      <c r="F492" t="s">
        <v>2582</v>
      </c>
      <c r="G492" t="s">
        <v>22</v>
      </c>
      <c r="H492" t="s">
        <v>2575</v>
      </c>
      <c r="I492" t="s">
        <v>943</v>
      </c>
    </row>
    <row r="493" spans="1:9" ht="11.25" customHeight="1">
      <c r="A493" t="s">
        <v>2374</v>
      </c>
      <c r="B493" t="s">
        <v>16</v>
      </c>
      <c r="C493" t="s">
        <v>2980</v>
      </c>
      <c r="D493" t="s">
        <v>2981</v>
      </c>
      <c r="E493" t="s">
        <v>2717</v>
      </c>
      <c r="F493" t="s">
        <v>2982</v>
      </c>
      <c r="G493" t="s">
        <v>22</v>
      </c>
      <c r="H493" t="s">
        <v>22</v>
      </c>
      <c r="I493" t="s">
        <v>943</v>
      </c>
    </row>
    <row r="494" spans="1:9" ht="11.25" customHeight="1">
      <c r="A494" t="s">
        <v>2374</v>
      </c>
      <c r="B494" t="s">
        <v>16</v>
      </c>
      <c r="C494" t="s">
        <v>2983</v>
      </c>
      <c r="D494" t="s">
        <v>2984</v>
      </c>
      <c r="E494" t="s">
        <v>2659</v>
      </c>
      <c r="F494" t="s">
        <v>2741</v>
      </c>
      <c r="G494" t="s">
        <v>22</v>
      </c>
      <c r="H494" t="s">
        <v>22</v>
      </c>
      <c r="I494" t="s">
        <v>943</v>
      </c>
    </row>
    <row r="495" spans="1:9" ht="11.25" customHeight="1">
      <c r="A495" t="s">
        <v>2374</v>
      </c>
      <c r="B495" t="s">
        <v>16</v>
      </c>
      <c r="C495" t="s">
        <v>2997</v>
      </c>
      <c r="D495" t="s">
        <v>2998</v>
      </c>
      <c r="E495" t="s">
        <v>2428</v>
      </c>
      <c r="F495" t="s">
        <v>2999</v>
      </c>
      <c r="G495" t="s">
        <v>22</v>
      </c>
      <c r="H495" t="s">
        <v>22</v>
      </c>
      <c r="I495" t="s">
        <v>943</v>
      </c>
    </row>
    <row r="496" spans="1:9" ht="11.25" customHeight="1">
      <c r="A496" t="s">
        <v>2374</v>
      </c>
      <c r="B496" t="s">
        <v>16</v>
      </c>
      <c r="C496" t="s">
        <v>3003</v>
      </c>
      <c r="D496" t="s">
        <v>3004</v>
      </c>
      <c r="E496" t="s">
        <v>2738</v>
      </c>
      <c r="F496" t="s">
        <v>3005</v>
      </c>
      <c r="G496" t="s">
        <v>3006</v>
      </c>
      <c r="H496" t="s">
        <v>22</v>
      </c>
      <c r="I496" t="s">
        <v>943</v>
      </c>
    </row>
    <row r="497" spans="1:9" ht="11.25" customHeight="1">
      <c r="A497" t="s">
        <v>2374</v>
      </c>
      <c r="B497" t="s">
        <v>16</v>
      </c>
      <c r="C497" t="s">
        <v>3007</v>
      </c>
      <c r="D497" t="s">
        <v>3008</v>
      </c>
      <c r="E497" t="s">
        <v>3009</v>
      </c>
      <c r="F497" t="s">
        <v>2848</v>
      </c>
      <c r="G497" t="s">
        <v>22</v>
      </c>
      <c r="H497" t="s">
        <v>22</v>
      </c>
      <c r="I497" t="s">
        <v>943</v>
      </c>
    </row>
    <row r="498" spans="1:9" ht="11.25" customHeight="1">
      <c r="A498" t="s">
        <v>2374</v>
      </c>
      <c r="B498" t="s">
        <v>16</v>
      </c>
      <c r="C498" t="s">
        <v>2394</v>
      </c>
      <c r="D498" t="s">
        <v>2395</v>
      </c>
      <c r="E498" t="s">
        <v>2396</v>
      </c>
      <c r="F498" t="s">
        <v>2397</v>
      </c>
      <c r="G498" t="s">
        <v>2398</v>
      </c>
      <c r="H498" t="s">
        <v>22</v>
      </c>
      <c r="I498" t="s">
        <v>1764</v>
      </c>
    </row>
    <row r="499" spans="1:9" ht="11.25" customHeight="1">
      <c r="A499" t="s">
        <v>2374</v>
      </c>
      <c r="B499" t="s">
        <v>16</v>
      </c>
      <c r="C499" t="s">
        <v>2449</v>
      </c>
      <c r="D499" t="s">
        <v>2450</v>
      </c>
      <c r="E499" t="s">
        <v>2451</v>
      </c>
      <c r="F499" t="s">
        <v>2402</v>
      </c>
      <c r="G499" t="s">
        <v>2452</v>
      </c>
      <c r="H499" t="s">
        <v>22</v>
      </c>
      <c r="I499" t="s">
        <v>1764</v>
      </c>
    </row>
    <row r="500" spans="1:9" ht="11.25" customHeight="1">
      <c r="A500" t="s">
        <v>2374</v>
      </c>
      <c r="B500" t="s">
        <v>16</v>
      </c>
      <c r="C500" t="s">
        <v>3121</v>
      </c>
      <c r="D500" t="s">
        <v>3122</v>
      </c>
      <c r="E500" t="s">
        <v>3123</v>
      </c>
      <c r="F500" t="s">
        <v>2456</v>
      </c>
      <c r="G500" t="s">
        <v>3124</v>
      </c>
      <c r="H500" t="s">
        <v>22</v>
      </c>
      <c r="I500" t="s">
        <v>1764</v>
      </c>
    </row>
    <row r="501" spans="1:9" ht="11.25" customHeight="1">
      <c r="A501" t="s">
        <v>2374</v>
      </c>
      <c r="B501" t="s">
        <v>16</v>
      </c>
      <c r="C501" t="s">
        <v>3125</v>
      </c>
      <c r="D501" t="s">
        <v>3126</v>
      </c>
      <c r="E501" t="s">
        <v>3127</v>
      </c>
      <c r="F501" t="s">
        <v>2534</v>
      </c>
      <c r="G501" t="s">
        <v>3128</v>
      </c>
      <c r="H501" t="s">
        <v>22</v>
      </c>
      <c r="I501" t="s">
        <v>1764</v>
      </c>
    </row>
    <row r="502" spans="1:9" ht="11.25" customHeight="1">
      <c r="A502" t="s">
        <v>2374</v>
      </c>
      <c r="B502" t="s">
        <v>16</v>
      </c>
      <c r="C502" t="s">
        <v>3129</v>
      </c>
      <c r="D502" t="s">
        <v>3130</v>
      </c>
      <c r="E502" t="s">
        <v>3131</v>
      </c>
      <c r="F502" t="s">
        <v>2456</v>
      </c>
      <c r="G502" t="s">
        <v>22</v>
      </c>
      <c r="H502" t="s">
        <v>22</v>
      </c>
      <c r="I502" t="s">
        <v>1764</v>
      </c>
    </row>
    <row r="503" spans="1:9" ht="11.25" customHeight="1">
      <c r="A503" t="s">
        <v>2374</v>
      </c>
      <c r="B503" t="s">
        <v>16</v>
      </c>
      <c r="C503" t="s">
        <v>3132</v>
      </c>
      <c r="D503" t="s">
        <v>3133</v>
      </c>
      <c r="E503" t="s">
        <v>3134</v>
      </c>
      <c r="F503" t="s">
        <v>2456</v>
      </c>
      <c r="G503" t="s">
        <v>22</v>
      </c>
      <c r="H503" t="s">
        <v>22</v>
      </c>
      <c r="I503" t="s">
        <v>1764</v>
      </c>
    </row>
    <row r="504" spans="1:9" ht="11.25" customHeight="1">
      <c r="A504" t="s">
        <v>2374</v>
      </c>
      <c r="B504" t="s">
        <v>16</v>
      </c>
      <c r="C504" t="s">
        <v>2553</v>
      </c>
      <c r="D504" t="s">
        <v>2554</v>
      </c>
      <c r="E504" t="s">
        <v>2555</v>
      </c>
      <c r="F504" t="s">
        <v>2556</v>
      </c>
      <c r="G504" t="s">
        <v>2557</v>
      </c>
      <c r="H504" t="s">
        <v>22</v>
      </c>
      <c r="I504" t="s">
        <v>1764</v>
      </c>
    </row>
    <row r="505" spans="1:9" ht="11.25" customHeight="1">
      <c r="A505" t="s">
        <v>2374</v>
      </c>
      <c r="B505" t="s">
        <v>16</v>
      </c>
      <c r="C505" t="s">
        <v>3135</v>
      </c>
      <c r="D505" t="s">
        <v>3136</v>
      </c>
      <c r="E505" t="s">
        <v>3137</v>
      </c>
      <c r="F505" t="s">
        <v>2424</v>
      </c>
      <c r="G505" t="s">
        <v>3138</v>
      </c>
      <c r="H505" t="s">
        <v>22</v>
      </c>
      <c r="I505" t="s">
        <v>1764</v>
      </c>
    </row>
    <row r="506" spans="1:9" ht="11.25" customHeight="1">
      <c r="A506" t="s">
        <v>2374</v>
      </c>
      <c r="B506" t="s">
        <v>16</v>
      </c>
      <c r="C506" t="s">
        <v>2579</v>
      </c>
      <c r="D506" t="s">
        <v>2580</v>
      </c>
      <c r="E506" t="s">
        <v>2581</v>
      </c>
      <c r="F506" t="s">
        <v>2582</v>
      </c>
      <c r="G506" t="s">
        <v>2583</v>
      </c>
      <c r="H506" t="s">
        <v>22</v>
      </c>
      <c r="I506" t="s">
        <v>1764</v>
      </c>
    </row>
    <row r="507" spans="1:9" ht="11.25" customHeight="1">
      <c r="A507" t="s">
        <v>2374</v>
      </c>
      <c r="B507" t="s">
        <v>16</v>
      </c>
      <c r="C507" t="s">
        <v>2584</v>
      </c>
      <c r="D507" t="s">
        <v>2585</v>
      </c>
      <c r="E507" t="s">
        <v>2586</v>
      </c>
      <c r="F507" t="s">
        <v>2410</v>
      </c>
      <c r="G507" t="s">
        <v>2587</v>
      </c>
      <c r="H507" t="s">
        <v>22</v>
      </c>
      <c r="I507" t="s">
        <v>1764</v>
      </c>
    </row>
    <row r="508" spans="1:9" ht="11.25" customHeight="1">
      <c r="A508" t="s">
        <v>2374</v>
      </c>
      <c r="B508" t="s">
        <v>16</v>
      </c>
      <c r="C508" t="s">
        <v>3139</v>
      </c>
      <c r="D508" t="s">
        <v>3140</v>
      </c>
      <c r="E508" t="s">
        <v>3141</v>
      </c>
      <c r="F508" t="s">
        <v>2534</v>
      </c>
      <c r="G508" t="s">
        <v>22</v>
      </c>
      <c r="H508" t="s">
        <v>22</v>
      </c>
      <c r="I508" t="s">
        <v>1764</v>
      </c>
    </row>
    <row r="509" spans="1:9" ht="11.25" customHeight="1">
      <c r="A509" t="s">
        <v>2374</v>
      </c>
      <c r="B509" t="s">
        <v>16</v>
      </c>
      <c r="C509" t="s">
        <v>2602</v>
      </c>
      <c r="D509" t="s">
        <v>2603</v>
      </c>
      <c r="E509" t="s">
        <v>2604</v>
      </c>
      <c r="F509" t="s">
        <v>2605</v>
      </c>
      <c r="G509" t="s">
        <v>22</v>
      </c>
      <c r="H509" t="s">
        <v>22</v>
      </c>
      <c r="I509" t="s">
        <v>1764</v>
      </c>
    </row>
    <row r="510" spans="1:9" ht="11.25" customHeight="1">
      <c r="A510" t="s">
        <v>2374</v>
      </c>
      <c r="B510" t="s">
        <v>16</v>
      </c>
      <c r="C510" t="s">
        <v>2625</v>
      </c>
      <c r="D510" t="s">
        <v>2626</v>
      </c>
      <c r="E510" t="s">
        <v>2627</v>
      </c>
      <c r="F510" t="s">
        <v>2382</v>
      </c>
      <c r="G510" t="s">
        <v>2620</v>
      </c>
      <c r="H510" t="s">
        <v>22</v>
      </c>
      <c r="I510" t="s">
        <v>1764</v>
      </c>
    </row>
    <row r="511" spans="1:9" ht="11.25" customHeight="1">
      <c r="A511" t="s">
        <v>2374</v>
      </c>
      <c r="B511" t="s">
        <v>16</v>
      </c>
      <c r="C511" t="s">
        <v>2636</v>
      </c>
      <c r="D511" t="s">
        <v>2637</v>
      </c>
      <c r="E511" t="s">
        <v>2638</v>
      </c>
      <c r="F511" t="s">
        <v>2382</v>
      </c>
      <c r="G511" t="s">
        <v>2639</v>
      </c>
      <c r="H511" t="s">
        <v>22</v>
      </c>
      <c r="I511" t="s">
        <v>1764</v>
      </c>
    </row>
    <row r="512" spans="1:9" ht="11.25" customHeight="1">
      <c r="A512" t="s">
        <v>2374</v>
      </c>
      <c r="B512" t="s">
        <v>16</v>
      </c>
      <c r="C512" t="s">
        <v>3142</v>
      </c>
      <c r="D512" t="s">
        <v>3143</v>
      </c>
      <c r="E512" t="s">
        <v>3144</v>
      </c>
      <c r="F512" t="s">
        <v>2479</v>
      </c>
      <c r="G512" t="s">
        <v>22</v>
      </c>
      <c r="H512" t="s">
        <v>22</v>
      </c>
      <c r="I512" t="s">
        <v>1764</v>
      </c>
    </row>
    <row r="513" spans="1:9" ht="11.25" customHeight="1">
      <c r="A513" t="s">
        <v>2374</v>
      </c>
      <c r="B513" t="s">
        <v>16</v>
      </c>
      <c r="C513" t="s">
        <v>3145</v>
      </c>
      <c r="D513" t="s">
        <v>3146</v>
      </c>
      <c r="E513" t="s">
        <v>3147</v>
      </c>
      <c r="F513" t="s">
        <v>2591</v>
      </c>
      <c r="G513" t="s">
        <v>22</v>
      </c>
      <c r="H513" t="s">
        <v>22</v>
      </c>
      <c r="I513" t="s">
        <v>1764</v>
      </c>
    </row>
    <row r="514" spans="1:9" ht="11.25" customHeight="1">
      <c r="A514" t="s">
        <v>2374</v>
      </c>
      <c r="B514" t="s">
        <v>16</v>
      </c>
      <c r="C514" t="s">
        <v>2730</v>
      </c>
      <c r="D514" t="s">
        <v>2731</v>
      </c>
      <c r="E514" t="s">
        <v>2732</v>
      </c>
      <c r="F514" t="s">
        <v>2410</v>
      </c>
      <c r="G514" t="s">
        <v>22</v>
      </c>
      <c r="H514" t="s">
        <v>22</v>
      </c>
      <c r="I514" t="s">
        <v>1764</v>
      </c>
    </row>
    <row r="515" spans="1:9" ht="11.25" customHeight="1">
      <c r="A515" t="s">
        <v>2374</v>
      </c>
      <c r="B515" t="s">
        <v>16</v>
      </c>
      <c r="C515" t="s">
        <v>3148</v>
      </c>
      <c r="D515" t="s">
        <v>3149</v>
      </c>
      <c r="E515" t="s">
        <v>3150</v>
      </c>
      <c r="F515" t="s">
        <v>3151</v>
      </c>
      <c r="G515" t="s">
        <v>22</v>
      </c>
      <c r="H515" t="s">
        <v>22</v>
      </c>
      <c r="I515" t="s">
        <v>1764</v>
      </c>
    </row>
    <row r="516" spans="1:9" ht="11.25" customHeight="1">
      <c r="A516" t="s">
        <v>2374</v>
      </c>
      <c r="B516" t="s">
        <v>16</v>
      </c>
      <c r="C516" t="s">
        <v>2774</v>
      </c>
      <c r="D516" t="s">
        <v>2775</v>
      </c>
      <c r="E516" t="s">
        <v>2776</v>
      </c>
      <c r="F516" t="s">
        <v>2777</v>
      </c>
      <c r="G516" t="s">
        <v>22</v>
      </c>
      <c r="H516" t="s">
        <v>22</v>
      </c>
      <c r="I516" t="s">
        <v>1764</v>
      </c>
    </row>
    <row r="517" spans="1:9" ht="11.25" customHeight="1">
      <c r="A517" t="s">
        <v>2374</v>
      </c>
      <c r="B517" t="s">
        <v>16</v>
      </c>
      <c r="C517" t="s">
        <v>3152</v>
      </c>
      <c r="D517" t="s">
        <v>3153</v>
      </c>
      <c r="E517" t="s">
        <v>3154</v>
      </c>
      <c r="F517" t="s">
        <v>2448</v>
      </c>
      <c r="G517" t="s">
        <v>3155</v>
      </c>
      <c r="H517" t="s">
        <v>3156</v>
      </c>
      <c r="I517" t="s">
        <v>1764</v>
      </c>
    </row>
    <row r="518" spans="1:9" ht="11.25" customHeight="1">
      <c r="A518" t="s">
        <v>2374</v>
      </c>
      <c r="B518" t="s">
        <v>16</v>
      </c>
      <c r="C518" t="s">
        <v>3157</v>
      </c>
      <c r="D518" t="s">
        <v>3158</v>
      </c>
      <c r="E518" t="s">
        <v>3159</v>
      </c>
      <c r="F518" t="s">
        <v>2440</v>
      </c>
      <c r="G518" t="s">
        <v>22</v>
      </c>
      <c r="H518" t="s">
        <v>22</v>
      </c>
      <c r="I518" t="s">
        <v>1764</v>
      </c>
    </row>
    <row r="519" spans="1:9" ht="11.25" customHeight="1">
      <c r="A519" t="s">
        <v>2374</v>
      </c>
      <c r="B519" t="s">
        <v>16</v>
      </c>
      <c r="C519" t="s">
        <v>3160</v>
      </c>
      <c r="D519" t="s">
        <v>3161</v>
      </c>
      <c r="E519" t="s">
        <v>3162</v>
      </c>
      <c r="F519" t="s">
        <v>2424</v>
      </c>
      <c r="G519" t="s">
        <v>3163</v>
      </c>
      <c r="H519" t="s">
        <v>22</v>
      </c>
      <c r="I519" t="s">
        <v>1764</v>
      </c>
    </row>
    <row r="520" spans="1:9" ht="11.25" customHeight="1">
      <c r="A520" t="s">
        <v>2374</v>
      </c>
      <c r="B520" t="s">
        <v>16</v>
      </c>
      <c r="C520" t="s">
        <v>3164</v>
      </c>
      <c r="D520" t="s">
        <v>3165</v>
      </c>
      <c r="E520" t="s">
        <v>3166</v>
      </c>
      <c r="F520" t="s">
        <v>2424</v>
      </c>
      <c r="G520" t="s">
        <v>3163</v>
      </c>
      <c r="H520" t="s">
        <v>22</v>
      </c>
      <c r="I520" t="s">
        <v>1764</v>
      </c>
    </row>
    <row r="521" spans="1:9" ht="11.25" customHeight="1">
      <c r="A521" t="s">
        <v>2374</v>
      </c>
      <c r="B521" t="s">
        <v>16</v>
      </c>
      <c r="C521" t="s">
        <v>3167</v>
      </c>
      <c r="D521" t="s">
        <v>3168</v>
      </c>
      <c r="E521" t="s">
        <v>3169</v>
      </c>
      <c r="F521" t="s">
        <v>2406</v>
      </c>
      <c r="G521" t="s">
        <v>3170</v>
      </c>
      <c r="H521" t="s">
        <v>22</v>
      </c>
      <c r="I521" t="s">
        <v>1764</v>
      </c>
    </row>
    <row r="522" spans="1:9" ht="11.25" customHeight="1">
      <c r="A522" t="s">
        <v>2374</v>
      </c>
      <c r="B522" t="s">
        <v>16</v>
      </c>
      <c r="C522" t="s">
        <v>3171</v>
      </c>
      <c r="D522" t="s">
        <v>3172</v>
      </c>
      <c r="E522" t="s">
        <v>3173</v>
      </c>
      <c r="F522" t="s">
        <v>51</v>
      </c>
      <c r="G522" t="s">
        <v>3174</v>
      </c>
      <c r="H522" t="s">
        <v>22</v>
      </c>
      <c r="I522" t="s">
        <v>1764</v>
      </c>
    </row>
    <row r="523" spans="1:9" ht="11.25" customHeight="1">
      <c r="A523" t="s">
        <v>2374</v>
      </c>
      <c r="B523" t="s">
        <v>16</v>
      </c>
      <c r="C523" t="s">
        <v>3175</v>
      </c>
      <c r="D523" t="s">
        <v>3176</v>
      </c>
      <c r="E523" t="s">
        <v>3177</v>
      </c>
      <c r="F523" t="s">
        <v>2456</v>
      </c>
      <c r="G523" t="s">
        <v>22</v>
      </c>
      <c r="H523" t="s">
        <v>22</v>
      </c>
      <c r="I523" t="s">
        <v>1764</v>
      </c>
    </row>
    <row r="524" spans="1:9" ht="11.25" customHeight="1">
      <c r="A524" t="s">
        <v>2374</v>
      </c>
      <c r="B524" t="s">
        <v>16</v>
      </c>
      <c r="C524" t="s">
        <v>3178</v>
      </c>
      <c r="D524" t="s">
        <v>3179</v>
      </c>
      <c r="E524" t="s">
        <v>3180</v>
      </c>
      <c r="F524" t="s">
        <v>2456</v>
      </c>
      <c r="G524" t="s">
        <v>22</v>
      </c>
      <c r="H524" t="s">
        <v>22</v>
      </c>
      <c r="I524" t="s">
        <v>1764</v>
      </c>
    </row>
    <row r="525" spans="1:9" ht="11.25" customHeight="1">
      <c r="A525" t="s">
        <v>2374</v>
      </c>
      <c r="B525" t="s">
        <v>16</v>
      </c>
      <c r="C525" t="s">
        <v>3181</v>
      </c>
      <c r="D525" t="s">
        <v>3182</v>
      </c>
      <c r="E525" t="s">
        <v>3183</v>
      </c>
      <c r="F525" t="s">
        <v>2456</v>
      </c>
      <c r="G525" t="s">
        <v>22</v>
      </c>
      <c r="H525" t="s">
        <v>22</v>
      </c>
      <c r="I525" t="s">
        <v>1764</v>
      </c>
    </row>
    <row r="526" spans="1:9" ht="11.25" customHeight="1">
      <c r="A526" t="s">
        <v>2374</v>
      </c>
      <c r="B526" t="s">
        <v>16</v>
      </c>
      <c r="C526" t="s">
        <v>3184</v>
      </c>
      <c r="D526" t="s">
        <v>3185</v>
      </c>
      <c r="E526" t="s">
        <v>3186</v>
      </c>
      <c r="F526" t="s">
        <v>2582</v>
      </c>
      <c r="G526" t="s">
        <v>3187</v>
      </c>
      <c r="H526" t="s">
        <v>22</v>
      </c>
      <c r="I526" t="s">
        <v>1764</v>
      </c>
    </row>
    <row r="527" spans="1:9" ht="11.25" customHeight="1">
      <c r="A527" t="s">
        <v>2374</v>
      </c>
      <c r="B527" t="s">
        <v>16</v>
      </c>
      <c r="C527" t="s">
        <v>3188</v>
      </c>
      <c r="D527" t="s">
        <v>3189</v>
      </c>
      <c r="E527" t="s">
        <v>3190</v>
      </c>
      <c r="F527" t="s">
        <v>2410</v>
      </c>
      <c r="G527" t="s">
        <v>22</v>
      </c>
      <c r="H527" t="s">
        <v>22</v>
      </c>
      <c r="I527" t="s">
        <v>1764</v>
      </c>
    </row>
    <row r="528" spans="1:9" ht="11.25" customHeight="1">
      <c r="A528" t="s">
        <v>2374</v>
      </c>
      <c r="B528" t="s">
        <v>16</v>
      </c>
      <c r="C528" t="s">
        <v>3191</v>
      </c>
      <c r="D528" t="s">
        <v>3192</v>
      </c>
      <c r="E528" t="s">
        <v>3193</v>
      </c>
      <c r="F528" t="s">
        <v>51</v>
      </c>
      <c r="G528" t="s">
        <v>3194</v>
      </c>
      <c r="H528" t="s">
        <v>22</v>
      </c>
      <c r="I528" t="s">
        <v>1764</v>
      </c>
    </row>
    <row r="529" spans="1:9" ht="11.25" customHeight="1">
      <c r="A529" t="s">
        <v>2374</v>
      </c>
      <c r="B529" t="s">
        <v>16</v>
      </c>
      <c r="C529" t="s">
        <v>3195</v>
      </c>
      <c r="D529" t="s">
        <v>3196</v>
      </c>
      <c r="E529" t="s">
        <v>3197</v>
      </c>
      <c r="F529" t="s">
        <v>2598</v>
      </c>
      <c r="G529" t="s">
        <v>3198</v>
      </c>
      <c r="H529" t="s">
        <v>22</v>
      </c>
      <c r="I529" t="s">
        <v>1764</v>
      </c>
    </row>
    <row r="530" spans="1:9" ht="11.25" customHeight="1">
      <c r="A530" t="s">
        <v>2374</v>
      </c>
      <c r="B530" t="s">
        <v>16</v>
      </c>
      <c r="C530" t="s">
        <v>3199</v>
      </c>
      <c r="D530" t="s">
        <v>3200</v>
      </c>
      <c r="E530" t="s">
        <v>3201</v>
      </c>
      <c r="F530" t="s">
        <v>3202</v>
      </c>
      <c r="G530" t="s">
        <v>3170</v>
      </c>
      <c r="H530" t="s">
        <v>22</v>
      </c>
      <c r="I530" t="s">
        <v>1764</v>
      </c>
    </row>
    <row r="531" spans="1:9" ht="11.25" customHeight="1">
      <c r="A531" t="s">
        <v>2374</v>
      </c>
      <c r="B531" t="s">
        <v>16</v>
      </c>
      <c r="C531" t="s">
        <v>3203</v>
      </c>
      <c r="D531" t="s">
        <v>3204</v>
      </c>
      <c r="E531" t="s">
        <v>3205</v>
      </c>
      <c r="F531" t="s">
        <v>2456</v>
      </c>
      <c r="G531" t="s">
        <v>3206</v>
      </c>
      <c r="H531" t="s">
        <v>22</v>
      </c>
      <c r="I531" t="s">
        <v>1764</v>
      </c>
    </row>
    <row r="532" spans="1:9" ht="11.25" customHeight="1">
      <c r="A532" t="s">
        <v>2374</v>
      </c>
      <c r="B532" t="s">
        <v>16</v>
      </c>
      <c r="C532" t="s">
        <v>3207</v>
      </c>
      <c r="D532" t="s">
        <v>3208</v>
      </c>
      <c r="E532" t="s">
        <v>3209</v>
      </c>
      <c r="F532" t="s">
        <v>3210</v>
      </c>
      <c r="G532" t="s">
        <v>3211</v>
      </c>
      <c r="H532" t="s">
        <v>22</v>
      </c>
      <c r="I532" t="s">
        <v>1764</v>
      </c>
    </row>
    <row r="533" spans="1:9" ht="11.25" customHeight="1">
      <c r="A533" t="s">
        <v>2374</v>
      </c>
      <c r="B533" t="s">
        <v>16</v>
      </c>
      <c r="C533" t="s">
        <v>3212</v>
      </c>
      <c r="D533" t="s">
        <v>3213</v>
      </c>
      <c r="E533" t="s">
        <v>3169</v>
      </c>
      <c r="F533" t="s">
        <v>3214</v>
      </c>
      <c r="G533" t="s">
        <v>3170</v>
      </c>
      <c r="H533" t="s">
        <v>22</v>
      </c>
      <c r="I533" t="s">
        <v>1764</v>
      </c>
    </row>
    <row r="534" spans="1:9" ht="11.25" customHeight="1">
      <c r="A534" t="s">
        <v>2374</v>
      </c>
      <c r="B534" t="s">
        <v>16</v>
      </c>
      <c r="C534" t="s">
        <v>3215</v>
      </c>
      <c r="D534" t="s">
        <v>3216</v>
      </c>
      <c r="E534" t="s">
        <v>3217</v>
      </c>
      <c r="F534" t="s">
        <v>2410</v>
      </c>
      <c r="G534" t="s">
        <v>3218</v>
      </c>
      <c r="H534" t="s">
        <v>22</v>
      </c>
      <c r="I534" t="s">
        <v>1764</v>
      </c>
    </row>
    <row r="535" spans="1:9" ht="11.25" customHeight="1">
      <c r="A535" t="s">
        <v>2374</v>
      </c>
      <c r="B535" t="s">
        <v>16</v>
      </c>
      <c r="C535" t="s">
        <v>3219</v>
      </c>
      <c r="D535" t="s">
        <v>3220</v>
      </c>
      <c r="E535" t="s">
        <v>3221</v>
      </c>
      <c r="F535" t="s">
        <v>2534</v>
      </c>
      <c r="G535" t="s">
        <v>3222</v>
      </c>
      <c r="H535" t="s">
        <v>22</v>
      </c>
      <c r="I535" t="s">
        <v>1764</v>
      </c>
    </row>
    <row r="536" spans="1:9" ht="11.25" customHeight="1">
      <c r="A536" t="s">
        <v>2374</v>
      </c>
      <c r="B536" t="s">
        <v>16</v>
      </c>
      <c r="C536" t="s">
        <v>3223</v>
      </c>
      <c r="D536" t="s">
        <v>3224</v>
      </c>
      <c r="E536" t="s">
        <v>3225</v>
      </c>
      <c r="F536" t="s">
        <v>2456</v>
      </c>
      <c r="G536" t="s">
        <v>22</v>
      </c>
      <c r="H536" t="s">
        <v>22</v>
      </c>
      <c r="I536" t="s">
        <v>1764</v>
      </c>
    </row>
    <row r="537" spans="1:9" ht="11.25" customHeight="1">
      <c r="A537" t="s">
        <v>2374</v>
      </c>
      <c r="B537" t="s">
        <v>16</v>
      </c>
      <c r="C537" t="s">
        <v>3226</v>
      </c>
      <c r="D537" t="s">
        <v>3224</v>
      </c>
      <c r="E537" t="s">
        <v>3225</v>
      </c>
      <c r="F537" t="s">
        <v>2777</v>
      </c>
      <c r="G537" t="s">
        <v>3227</v>
      </c>
      <c r="H537" t="s">
        <v>22</v>
      </c>
      <c r="I537" t="s">
        <v>1764</v>
      </c>
    </row>
    <row r="538" spans="1:9" ht="11.25" customHeight="1">
      <c r="A538" t="s">
        <v>2374</v>
      </c>
      <c r="B538" t="s">
        <v>16</v>
      </c>
      <c r="C538" t="s">
        <v>3228</v>
      </c>
      <c r="D538" t="s">
        <v>3229</v>
      </c>
      <c r="E538" t="s">
        <v>3230</v>
      </c>
      <c r="F538" t="s">
        <v>2605</v>
      </c>
      <c r="G538" t="s">
        <v>22</v>
      </c>
      <c r="H538" t="s">
        <v>22</v>
      </c>
      <c r="I538" t="s">
        <v>1764</v>
      </c>
    </row>
    <row r="539" spans="1:9" ht="11.25" customHeight="1">
      <c r="A539" t="s">
        <v>2374</v>
      </c>
      <c r="B539" t="s">
        <v>16</v>
      </c>
      <c r="C539" t="s">
        <v>3231</v>
      </c>
      <c r="D539" t="s">
        <v>3232</v>
      </c>
      <c r="E539" t="s">
        <v>3205</v>
      </c>
      <c r="F539" t="s">
        <v>51</v>
      </c>
      <c r="G539" t="s">
        <v>22</v>
      </c>
      <c r="H539" t="s">
        <v>22</v>
      </c>
      <c r="I539" t="s">
        <v>1764</v>
      </c>
    </row>
    <row r="540" spans="1:9" ht="11.25" customHeight="1">
      <c r="A540" t="s">
        <v>2374</v>
      </c>
      <c r="B540" t="s">
        <v>16</v>
      </c>
      <c r="C540" t="s">
        <v>3233</v>
      </c>
      <c r="D540" t="s">
        <v>3234</v>
      </c>
      <c r="E540" t="s">
        <v>3235</v>
      </c>
      <c r="F540" t="s">
        <v>2479</v>
      </c>
      <c r="G540" t="s">
        <v>3236</v>
      </c>
      <c r="H540" t="s">
        <v>22</v>
      </c>
      <c r="I540" t="s">
        <v>1764</v>
      </c>
    </row>
    <row r="541" spans="1:9" ht="11.25" customHeight="1">
      <c r="A541" t="s">
        <v>2374</v>
      </c>
      <c r="B541" t="s">
        <v>16</v>
      </c>
      <c r="C541" t="s">
        <v>3237</v>
      </c>
      <c r="D541" t="s">
        <v>3238</v>
      </c>
      <c r="E541" t="s">
        <v>3239</v>
      </c>
      <c r="F541" t="s">
        <v>2556</v>
      </c>
      <c r="G541" t="s">
        <v>3240</v>
      </c>
      <c r="H541" t="s">
        <v>22</v>
      </c>
      <c r="I541" t="s">
        <v>1764</v>
      </c>
    </row>
    <row r="542" spans="1:9" ht="11.25" customHeight="1">
      <c r="A542" t="s">
        <v>2374</v>
      </c>
      <c r="B542" t="s">
        <v>16</v>
      </c>
      <c r="C542" t="s">
        <v>3241</v>
      </c>
      <c r="D542" t="s">
        <v>3242</v>
      </c>
      <c r="E542" t="s">
        <v>3243</v>
      </c>
      <c r="F542" t="s">
        <v>2616</v>
      </c>
      <c r="G542" t="s">
        <v>3244</v>
      </c>
      <c r="H542" t="s">
        <v>22</v>
      </c>
      <c r="I542" t="s">
        <v>1764</v>
      </c>
    </row>
    <row r="543" spans="1:9" ht="11.25" customHeight="1">
      <c r="A543" t="s">
        <v>2374</v>
      </c>
      <c r="B543" t="s">
        <v>16</v>
      </c>
      <c r="C543" t="s">
        <v>3245</v>
      </c>
      <c r="D543" t="s">
        <v>3246</v>
      </c>
      <c r="E543" t="s">
        <v>3247</v>
      </c>
      <c r="F543" t="s">
        <v>2616</v>
      </c>
      <c r="G543" t="s">
        <v>22</v>
      </c>
      <c r="H543" t="s">
        <v>22</v>
      </c>
      <c r="I543" t="s">
        <v>1764</v>
      </c>
    </row>
    <row r="544" spans="1:9" ht="11.25" customHeight="1">
      <c r="A544" t="s">
        <v>2374</v>
      </c>
      <c r="B544" t="s">
        <v>16</v>
      </c>
      <c r="C544" t="s">
        <v>3248</v>
      </c>
      <c r="D544" t="s">
        <v>3249</v>
      </c>
      <c r="E544" t="s">
        <v>3250</v>
      </c>
      <c r="F544" t="s">
        <v>2436</v>
      </c>
      <c r="G544" t="s">
        <v>22</v>
      </c>
      <c r="H544" t="s">
        <v>22</v>
      </c>
      <c r="I544" t="s">
        <v>1764</v>
      </c>
    </row>
    <row r="545" spans="1:9" ht="11.25" customHeight="1">
      <c r="A545" t="s">
        <v>2374</v>
      </c>
      <c r="B545" t="s">
        <v>16</v>
      </c>
      <c r="C545" t="s">
        <v>22</v>
      </c>
      <c r="D545" t="s">
        <v>2964</v>
      </c>
      <c r="E545" t="s">
        <v>2965</v>
      </c>
      <c r="F545" t="s">
        <v>2456</v>
      </c>
      <c r="G545" t="s">
        <v>22</v>
      </c>
      <c r="H545" t="s">
        <v>22</v>
      </c>
      <c r="I545" t="s">
        <v>1764</v>
      </c>
    </row>
    <row r="546" spans="1:9" ht="11.25" customHeight="1">
      <c r="A546" t="s">
        <v>2374</v>
      </c>
      <c r="B546" t="s">
        <v>16</v>
      </c>
      <c r="C546" t="s">
        <v>22</v>
      </c>
      <c r="D546" t="s">
        <v>2966</v>
      </c>
      <c r="E546" t="s">
        <v>2967</v>
      </c>
      <c r="F546" t="s">
        <v>2444</v>
      </c>
      <c r="G546" t="s">
        <v>22</v>
      </c>
      <c r="H546" t="s">
        <v>22</v>
      </c>
      <c r="I546" t="s">
        <v>1764</v>
      </c>
    </row>
    <row r="547" spans="1:9" ht="11.25" customHeight="1">
      <c r="A547" t="s">
        <v>2374</v>
      </c>
      <c r="B547" t="s">
        <v>16</v>
      </c>
      <c r="C547" t="s">
        <v>2971</v>
      </c>
      <c r="D547" t="s">
        <v>2972</v>
      </c>
      <c r="E547" t="s">
        <v>2973</v>
      </c>
      <c r="F547" t="s">
        <v>2382</v>
      </c>
      <c r="G547" t="s">
        <v>22</v>
      </c>
      <c r="H547" t="s">
        <v>22</v>
      </c>
      <c r="I547" t="s">
        <v>1764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106"/>
  <sheetViews>
    <sheetView showGridLines="0" workbookViewId="0"/>
  </sheetViews>
  <sheetFormatPr defaultRowHeight="11.25" customHeight="1"/>
  <sheetData>
    <row r="1" spans="1:7" ht="11.25" customHeight="1">
      <c r="A1" t="s">
        <v>3251</v>
      </c>
      <c r="B1" s="2" t="s">
        <v>3252</v>
      </c>
      <c r="C1" s="2" t="s">
        <v>3253</v>
      </c>
      <c r="D1" s="2" t="s">
        <v>3254</v>
      </c>
      <c r="E1" s="2" t="s">
        <v>3255</v>
      </c>
      <c r="F1" s="2" t="s">
        <v>3256</v>
      </c>
      <c r="G1" s="2" t="s">
        <v>3257</v>
      </c>
    </row>
    <row r="2" spans="1:7" ht="11.25" customHeight="1">
      <c r="A2" t="s">
        <v>16</v>
      </c>
      <c r="B2" t="s">
        <v>3258</v>
      </c>
      <c r="C2" t="s">
        <v>3259</v>
      </c>
      <c r="D2" t="s">
        <v>3260</v>
      </c>
      <c r="E2" t="s">
        <v>3261</v>
      </c>
      <c r="F2" t="s">
        <v>3262</v>
      </c>
      <c r="G2" t="s">
        <v>109</v>
      </c>
    </row>
    <row r="3" spans="1:7" ht="11.25" customHeight="1">
      <c r="A3" t="s">
        <v>16</v>
      </c>
      <c r="B3" t="s">
        <v>3258</v>
      </c>
      <c r="C3" t="s">
        <v>3259</v>
      </c>
      <c r="D3" t="s">
        <v>3258</v>
      </c>
      <c r="E3" t="s">
        <v>3259</v>
      </c>
      <c r="F3" t="s">
        <v>3263</v>
      </c>
      <c r="G3" t="s">
        <v>110</v>
      </c>
    </row>
    <row r="4" spans="1:7" ht="11.25" customHeight="1">
      <c r="A4" t="s">
        <v>16</v>
      </c>
      <c r="B4" t="s">
        <v>3258</v>
      </c>
      <c r="C4" t="s">
        <v>3259</v>
      </c>
      <c r="D4" t="s">
        <v>3264</v>
      </c>
      <c r="E4" t="s">
        <v>3265</v>
      </c>
      <c r="F4" t="s">
        <v>3266</v>
      </c>
      <c r="G4" t="s">
        <v>90</v>
      </c>
    </row>
    <row r="5" spans="1:7" ht="11.25" customHeight="1">
      <c r="A5" t="s">
        <v>16</v>
      </c>
      <c r="B5" t="s">
        <v>3258</v>
      </c>
      <c r="C5" t="s">
        <v>3259</v>
      </c>
      <c r="D5" t="s">
        <v>3267</v>
      </c>
      <c r="E5" t="s">
        <v>3268</v>
      </c>
      <c r="F5" t="s">
        <v>3266</v>
      </c>
      <c r="G5" t="s">
        <v>91</v>
      </c>
    </row>
    <row r="6" spans="1:7" ht="11.25" customHeight="1">
      <c r="A6" t="s">
        <v>16</v>
      </c>
      <c r="B6" t="s">
        <v>3258</v>
      </c>
      <c r="C6" t="s">
        <v>3259</v>
      </c>
      <c r="D6" t="s">
        <v>3269</v>
      </c>
      <c r="E6" t="s">
        <v>3270</v>
      </c>
      <c r="F6" t="s">
        <v>3266</v>
      </c>
      <c r="G6" t="s">
        <v>111</v>
      </c>
    </row>
    <row r="7" spans="1:7" ht="11.25" customHeight="1">
      <c r="A7" t="s">
        <v>16</v>
      </c>
      <c r="B7" t="s">
        <v>3258</v>
      </c>
      <c r="C7" t="s">
        <v>3259</v>
      </c>
      <c r="D7" t="s">
        <v>3271</v>
      </c>
      <c r="E7" t="s">
        <v>3272</v>
      </c>
      <c r="F7" t="s">
        <v>3266</v>
      </c>
      <c r="G7" t="s">
        <v>92</v>
      </c>
    </row>
    <row r="8" spans="1:7" ht="11.25" customHeight="1">
      <c r="A8" t="s">
        <v>16</v>
      </c>
      <c r="B8" t="s">
        <v>3258</v>
      </c>
      <c r="C8" t="s">
        <v>3259</v>
      </c>
      <c r="D8" t="s">
        <v>3273</v>
      </c>
      <c r="E8" t="s">
        <v>3274</v>
      </c>
      <c r="F8" t="s">
        <v>3266</v>
      </c>
      <c r="G8" t="s">
        <v>93</v>
      </c>
    </row>
    <row r="9" spans="1:7" ht="11.25" customHeight="1">
      <c r="A9" t="s">
        <v>16</v>
      </c>
      <c r="B9" t="s">
        <v>3258</v>
      </c>
      <c r="C9" t="s">
        <v>3259</v>
      </c>
      <c r="D9" t="s">
        <v>3275</v>
      </c>
      <c r="E9" t="s">
        <v>3276</v>
      </c>
      <c r="F9" t="s">
        <v>3266</v>
      </c>
      <c r="G9" t="s">
        <v>112</v>
      </c>
    </row>
    <row r="10" spans="1:7" ht="11.25" customHeight="1">
      <c r="A10" t="s">
        <v>16</v>
      </c>
      <c r="B10" t="s">
        <v>3277</v>
      </c>
      <c r="C10" t="s">
        <v>3278</v>
      </c>
      <c r="D10" t="s">
        <v>3277</v>
      </c>
      <c r="E10" t="s">
        <v>3278</v>
      </c>
      <c r="F10" t="s">
        <v>3263</v>
      </c>
      <c r="G10" t="s">
        <v>156</v>
      </c>
    </row>
    <row r="11" spans="1:7" ht="11.25" customHeight="1">
      <c r="A11" t="s">
        <v>16</v>
      </c>
      <c r="B11" t="s">
        <v>3277</v>
      </c>
      <c r="C11" t="s">
        <v>3278</v>
      </c>
      <c r="D11" t="s">
        <v>3279</v>
      </c>
      <c r="E11" t="s">
        <v>3280</v>
      </c>
      <c r="F11" t="s">
        <v>3262</v>
      </c>
      <c r="G11" t="s">
        <v>157</v>
      </c>
    </row>
    <row r="12" spans="1:7" ht="11.25" customHeight="1">
      <c r="A12" t="s">
        <v>16</v>
      </c>
      <c r="B12" t="s">
        <v>3277</v>
      </c>
      <c r="C12" t="s">
        <v>3278</v>
      </c>
      <c r="D12" t="s">
        <v>3281</v>
      </c>
      <c r="E12" t="s">
        <v>3282</v>
      </c>
      <c r="F12" t="s">
        <v>3262</v>
      </c>
      <c r="G12" t="s">
        <v>158</v>
      </c>
    </row>
    <row r="13" spans="1:7" ht="11.25" customHeight="1">
      <c r="A13" t="s">
        <v>16</v>
      </c>
      <c r="B13" t="s">
        <v>3277</v>
      </c>
      <c r="C13" t="s">
        <v>3278</v>
      </c>
      <c r="D13" t="s">
        <v>3283</v>
      </c>
      <c r="E13" t="s">
        <v>3284</v>
      </c>
      <c r="F13" t="s">
        <v>3266</v>
      </c>
      <c r="G13" t="s">
        <v>159</v>
      </c>
    </row>
    <row r="14" spans="1:7" ht="11.25" customHeight="1">
      <c r="A14" t="s">
        <v>16</v>
      </c>
      <c r="B14" t="s">
        <v>3277</v>
      </c>
      <c r="C14" t="s">
        <v>3278</v>
      </c>
      <c r="D14" t="s">
        <v>3285</v>
      </c>
      <c r="E14" t="s">
        <v>3286</v>
      </c>
      <c r="F14" t="s">
        <v>3266</v>
      </c>
      <c r="G14" t="s">
        <v>160</v>
      </c>
    </row>
    <row r="15" spans="1:7" ht="11.25" customHeight="1">
      <c r="A15" t="s">
        <v>16</v>
      </c>
      <c r="B15" t="s">
        <v>3277</v>
      </c>
      <c r="C15" t="s">
        <v>3278</v>
      </c>
      <c r="D15" t="s">
        <v>3287</v>
      </c>
      <c r="E15" t="s">
        <v>3288</v>
      </c>
      <c r="F15" t="s">
        <v>3266</v>
      </c>
      <c r="G15" t="s">
        <v>161</v>
      </c>
    </row>
    <row r="16" spans="1:7" ht="11.25" customHeight="1">
      <c r="A16" t="s">
        <v>16</v>
      </c>
      <c r="B16" t="s">
        <v>3277</v>
      </c>
      <c r="C16" t="s">
        <v>3278</v>
      </c>
      <c r="D16" t="s">
        <v>3289</v>
      </c>
      <c r="E16" t="s">
        <v>3290</v>
      </c>
      <c r="F16" t="s">
        <v>3266</v>
      </c>
      <c r="G16" t="s">
        <v>1109</v>
      </c>
    </row>
    <row r="17" spans="1:7" ht="11.25" customHeight="1">
      <c r="A17" t="s">
        <v>16</v>
      </c>
      <c r="B17" t="s">
        <v>3291</v>
      </c>
      <c r="C17" t="s">
        <v>3292</v>
      </c>
      <c r="D17" t="s">
        <v>3291</v>
      </c>
      <c r="E17" t="s">
        <v>3292</v>
      </c>
      <c r="F17" t="s">
        <v>3293</v>
      </c>
      <c r="G17" t="s">
        <v>1111</v>
      </c>
    </row>
    <row r="18" spans="1:7" ht="11.25" customHeight="1">
      <c r="A18" t="s">
        <v>16</v>
      </c>
      <c r="B18" t="s">
        <v>3294</v>
      </c>
      <c r="C18" t="s">
        <v>3295</v>
      </c>
      <c r="D18" t="s">
        <v>3296</v>
      </c>
      <c r="E18" t="s">
        <v>3297</v>
      </c>
      <c r="F18" t="s">
        <v>3266</v>
      </c>
      <c r="G18" t="s">
        <v>1113</v>
      </c>
    </row>
    <row r="19" spans="1:7" ht="11.25" customHeight="1">
      <c r="A19" t="s">
        <v>16</v>
      </c>
      <c r="B19" t="s">
        <v>3294</v>
      </c>
      <c r="C19" t="s">
        <v>3295</v>
      </c>
      <c r="D19" t="s">
        <v>3294</v>
      </c>
      <c r="E19" t="s">
        <v>3295</v>
      </c>
      <c r="F19" t="s">
        <v>3263</v>
      </c>
      <c r="G19" t="s">
        <v>1116</v>
      </c>
    </row>
    <row r="20" spans="1:7" ht="11.25" customHeight="1">
      <c r="A20" t="s">
        <v>16</v>
      </c>
      <c r="B20" t="s">
        <v>3294</v>
      </c>
      <c r="C20" t="s">
        <v>3295</v>
      </c>
      <c r="D20" t="s">
        <v>3298</v>
      </c>
      <c r="E20" t="s">
        <v>3299</v>
      </c>
      <c r="F20" t="s">
        <v>3262</v>
      </c>
      <c r="G20" t="s">
        <v>1118</v>
      </c>
    </row>
    <row r="21" spans="1:7" ht="11.25" customHeight="1">
      <c r="A21" t="s">
        <v>16</v>
      </c>
      <c r="B21" t="s">
        <v>3294</v>
      </c>
      <c r="C21" t="s">
        <v>3295</v>
      </c>
      <c r="D21" t="s">
        <v>3300</v>
      </c>
      <c r="E21" t="s">
        <v>3301</v>
      </c>
      <c r="F21" t="s">
        <v>3262</v>
      </c>
      <c r="G21" t="s">
        <v>1087</v>
      </c>
    </row>
    <row r="22" spans="1:7" ht="11.25" customHeight="1">
      <c r="A22" t="s">
        <v>16</v>
      </c>
      <c r="B22" t="s">
        <v>3294</v>
      </c>
      <c r="C22" t="s">
        <v>3295</v>
      </c>
      <c r="D22" t="s">
        <v>3302</v>
      </c>
      <c r="E22" t="s">
        <v>3303</v>
      </c>
      <c r="F22" t="s">
        <v>3266</v>
      </c>
      <c r="G22" t="s">
        <v>1123</v>
      </c>
    </row>
    <row r="23" spans="1:7" ht="11.25" customHeight="1">
      <c r="A23" t="s">
        <v>16</v>
      </c>
      <c r="B23" t="s">
        <v>3294</v>
      </c>
      <c r="C23" t="s">
        <v>3295</v>
      </c>
      <c r="D23" t="s">
        <v>3304</v>
      </c>
      <c r="E23" t="s">
        <v>3305</v>
      </c>
      <c r="F23" t="s">
        <v>3262</v>
      </c>
      <c r="G23" t="s">
        <v>1125</v>
      </c>
    </row>
    <row r="24" spans="1:7" ht="11.25" customHeight="1">
      <c r="A24" t="s">
        <v>16</v>
      </c>
      <c r="B24" t="s">
        <v>3294</v>
      </c>
      <c r="C24" t="s">
        <v>3295</v>
      </c>
      <c r="D24" t="s">
        <v>3306</v>
      </c>
      <c r="E24" t="s">
        <v>3307</v>
      </c>
      <c r="F24" t="s">
        <v>3262</v>
      </c>
      <c r="G24" t="s">
        <v>1127</v>
      </c>
    </row>
    <row r="25" spans="1:7" ht="11.25" customHeight="1">
      <c r="A25" t="s">
        <v>16</v>
      </c>
      <c r="B25" t="s">
        <v>3294</v>
      </c>
      <c r="C25" t="s">
        <v>3295</v>
      </c>
      <c r="D25" t="s">
        <v>3308</v>
      </c>
      <c r="E25" t="s">
        <v>3309</v>
      </c>
      <c r="F25" t="s">
        <v>3262</v>
      </c>
      <c r="G25" t="s">
        <v>1130</v>
      </c>
    </row>
    <row r="26" spans="1:7" ht="11.25" customHeight="1">
      <c r="A26" t="s">
        <v>16</v>
      </c>
      <c r="B26" t="s">
        <v>3294</v>
      </c>
      <c r="C26" t="s">
        <v>3295</v>
      </c>
      <c r="D26" t="s">
        <v>3310</v>
      </c>
      <c r="E26" t="s">
        <v>3311</v>
      </c>
      <c r="F26" t="s">
        <v>3266</v>
      </c>
      <c r="G26" t="s">
        <v>1132</v>
      </c>
    </row>
    <row r="27" spans="1:7" ht="11.25" customHeight="1">
      <c r="A27" t="s">
        <v>16</v>
      </c>
      <c r="B27" t="s">
        <v>3294</v>
      </c>
      <c r="C27" t="s">
        <v>3295</v>
      </c>
      <c r="D27" t="s">
        <v>3312</v>
      </c>
      <c r="E27" t="s">
        <v>3313</v>
      </c>
      <c r="F27" t="s">
        <v>3266</v>
      </c>
      <c r="G27" t="s">
        <v>1134</v>
      </c>
    </row>
    <row r="28" spans="1:7" ht="11.25" customHeight="1">
      <c r="A28" t="s">
        <v>16</v>
      </c>
      <c r="B28" t="s">
        <v>3294</v>
      </c>
      <c r="C28" t="s">
        <v>3295</v>
      </c>
      <c r="D28" t="s">
        <v>3314</v>
      </c>
      <c r="E28" t="s">
        <v>3315</v>
      </c>
      <c r="F28" t="s">
        <v>3266</v>
      </c>
      <c r="G28" t="s">
        <v>1138</v>
      </c>
    </row>
    <row r="29" spans="1:7" ht="11.25" customHeight="1">
      <c r="A29" t="s">
        <v>16</v>
      </c>
      <c r="B29" t="s">
        <v>3316</v>
      </c>
      <c r="C29" t="s">
        <v>3317</v>
      </c>
      <c r="D29" t="s">
        <v>3316</v>
      </c>
      <c r="E29" t="s">
        <v>3317</v>
      </c>
      <c r="F29" t="s">
        <v>3293</v>
      </c>
      <c r="G29" t="s">
        <v>1140</v>
      </c>
    </row>
    <row r="30" spans="1:7" ht="11.25" customHeight="1">
      <c r="A30" t="s">
        <v>16</v>
      </c>
      <c r="B30" t="s">
        <v>3318</v>
      </c>
      <c r="C30" t="s">
        <v>3319</v>
      </c>
      <c r="D30" t="s">
        <v>3318</v>
      </c>
      <c r="E30" t="s">
        <v>3319</v>
      </c>
      <c r="F30" t="s">
        <v>3293</v>
      </c>
      <c r="G30" t="s">
        <v>1143</v>
      </c>
    </row>
    <row r="31" spans="1:7" ht="11.25" customHeight="1">
      <c r="A31" t="s">
        <v>16</v>
      </c>
      <c r="B31" t="s">
        <v>3320</v>
      </c>
      <c r="C31" t="s">
        <v>3321</v>
      </c>
      <c r="D31" t="s">
        <v>3320</v>
      </c>
      <c r="E31" t="s">
        <v>3321</v>
      </c>
      <c r="F31" t="s">
        <v>3293</v>
      </c>
      <c r="G31" t="s">
        <v>1147</v>
      </c>
    </row>
    <row r="32" spans="1:7" ht="11.25" customHeight="1">
      <c r="A32" t="s">
        <v>16</v>
      </c>
      <c r="B32" t="s">
        <v>3322</v>
      </c>
      <c r="C32" t="s">
        <v>3323</v>
      </c>
      <c r="D32" t="s">
        <v>3324</v>
      </c>
      <c r="E32" t="s">
        <v>3325</v>
      </c>
      <c r="F32" t="s">
        <v>3266</v>
      </c>
      <c r="G32" t="s">
        <v>1097</v>
      </c>
    </row>
    <row r="33" spans="1:7" ht="11.25" customHeight="1">
      <c r="A33" t="s">
        <v>16</v>
      </c>
      <c r="B33" t="s">
        <v>3322</v>
      </c>
      <c r="C33" t="s">
        <v>3323</v>
      </c>
      <c r="D33" t="s">
        <v>3326</v>
      </c>
      <c r="E33" t="s">
        <v>3327</v>
      </c>
      <c r="F33" t="s">
        <v>3266</v>
      </c>
      <c r="G33" t="s">
        <v>1152</v>
      </c>
    </row>
    <row r="34" spans="1:7" ht="11.25" customHeight="1">
      <c r="A34" t="s">
        <v>16</v>
      </c>
      <c r="B34" t="s">
        <v>3322</v>
      </c>
      <c r="C34" t="s">
        <v>3323</v>
      </c>
      <c r="D34" t="s">
        <v>3328</v>
      </c>
      <c r="E34" t="s">
        <v>3329</v>
      </c>
      <c r="F34" t="s">
        <v>3266</v>
      </c>
      <c r="G34" t="s">
        <v>1155</v>
      </c>
    </row>
    <row r="35" spans="1:7" ht="11.25" customHeight="1">
      <c r="A35" t="s">
        <v>16</v>
      </c>
      <c r="B35" t="s">
        <v>3322</v>
      </c>
      <c r="C35" t="s">
        <v>3323</v>
      </c>
      <c r="D35" t="s">
        <v>3322</v>
      </c>
      <c r="E35" t="s">
        <v>3323</v>
      </c>
      <c r="F35" t="s">
        <v>3263</v>
      </c>
      <c r="G35" t="s">
        <v>1157</v>
      </c>
    </row>
    <row r="36" spans="1:7" ht="11.25" customHeight="1">
      <c r="A36" t="s">
        <v>16</v>
      </c>
      <c r="B36" t="s">
        <v>3322</v>
      </c>
      <c r="C36" t="s">
        <v>3323</v>
      </c>
      <c r="D36" t="s">
        <v>3330</v>
      </c>
      <c r="E36" t="s">
        <v>3331</v>
      </c>
      <c r="F36" t="s">
        <v>3262</v>
      </c>
      <c r="G36" t="s">
        <v>1160</v>
      </c>
    </row>
    <row r="37" spans="1:7" ht="11.25" customHeight="1">
      <c r="A37" t="s">
        <v>16</v>
      </c>
      <c r="B37" t="s">
        <v>3322</v>
      </c>
      <c r="C37" t="s">
        <v>3323</v>
      </c>
      <c r="D37" t="s">
        <v>3332</v>
      </c>
      <c r="E37" t="s">
        <v>3333</v>
      </c>
      <c r="F37" t="s">
        <v>3266</v>
      </c>
      <c r="G37" t="s">
        <v>1162</v>
      </c>
    </row>
    <row r="38" spans="1:7" ht="11.25" customHeight="1">
      <c r="A38" t="s">
        <v>16</v>
      </c>
      <c r="B38" t="s">
        <v>3322</v>
      </c>
      <c r="C38" t="s">
        <v>3323</v>
      </c>
      <c r="D38" t="s">
        <v>3334</v>
      </c>
      <c r="E38" t="s">
        <v>3335</v>
      </c>
      <c r="F38" t="s">
        <v>3266</v>
      </c>
      <c r="G38" t="s">
        <v>1164</v>
      </c>
    </row>
    <row r="39" spans="1:7" ht="11.25" customHeight="1">
      <c r="A39" t="s">
        <v>16</v>
      </c>
      <c r="B39" t="s">
        <v>3322</v>
      </c>
      <c r="C39" t="s">
        <v>3323</v>
      </c>
      <c r="D39" t="s">
        <v>3336</v>
      </c>
      <c r="E39" t="s">
        <v>3337</v>
      </c>
      <c r="F39" t="s">
        <v>3266</v>
      </c>
      <c r="G39" t="s">
        <v>1760</v>
      </c>
    </row>
    <row r="40" spans="1:7" ht="11.25" customHeight="1">
      <c r="A40" t="s">
        <v>16</v>
      </c>
      <c r="B40" t="s">
        <v>3322</v>
      </c>
      <c r="C40" t="s">
        <v>3323</v>
      </c>
      <c r="D40" t="s">
        <v>3338</v>
      </c>
      <c r="E40" t="s">
        <v>3339</v>
      </c>
      <c r="F40" t="s">
        <v>3266</v>
      </c>
      <c r="G40" t="s">
        <v>1765</v>
      </c>
    </row>
    <row r="41" spans="1:7" ht="11.25" customHeight="1">
      <c r="A41" t="s">
        <v>16</v>
      </c>
      <c r="B41" t="s">
        <v>3340</v>
      </c>
      <c r="C41" t="s">
        <v>3341</v>
      </c>
      <c r="D41" t="s">
        <v>3340</v>
      </c>
      <c r="E41" t="s">
        <v>3341</v>
      </c>
      <c r="F41" t="s">
        <v>3293</v>
      </c>
      <c r="G41" t="s">
        <v>1769</v>
      </c>
    </row>
    <row r="42" spans="1:7" ht="11.25" customHeight="1">
      <c r="A42" t="s">
        <v>16</v>
      </c>
      <c r="B42" t="s">
        <v>3342</v>
      </c>
      <c r="C42" t="s">
        <v>3343</v>
      </c>
      <c r="D42" t="s">
        <v>3344</v>
      </c>
      <c r="E42" t="s">
        <v>3345</v>
      </c>
      <c r="F42" t="s">
        <v>3266</v>
      </c>
      <c r="G42" t="s">
        <v>1772</v>
      </c>
    </row>
    <row r="43" spans="1:7" ht="11.25" customHeight="1">
      <c r="A43" t="s">
        <v>16</v>
      </c>
      <c r="B43" t="s">
        <v>3342</v>
      </c>
      <c r="C43" t="s">
        <v>3343</v>
      </c>
      <c r="D43" t="s">
        <v>3346</v>
      </c>
      <c r="E43" t="s">
        <v>3347</v>
      </c>
      <c r="F43" t="s">
        <v>3266</v>
      </c>
      <c r="G43" t="s">
        <v>1779</v>
      </c>
    </row>
    <row r="44" spans="1:7" ht="11.25" customHeight="1">
      <c r="A44" t="s">
        <v>16</v>
      </c>
      <c r="B44" t="s">
        <v>3342</v>
      </c>
      <c r="C44" t="s">
        <v>3343</v>
      </c>
      <c r="D44" t="s">
        <v>3348</v>
      </c>
      <c r="E44" t="s">
        <v>3349</v>
      </c>
      <c r="F44" t="s">
        <v>3266</v>
      </c>
      <c r="G44" t="s">
        <v>1788</v>
      </c>
    </row>
    <row r="45" spans="1:7" ht="11.25" customHeight="1">
      <c r="A45" t="s">
        <v>16</v>
      </c>
      <c r="B45" t="s">
        <v>3342</v>
      </c>
      <c r="C45" t="s">
        <v>3343</v>
      </c>
      <c r="D45" t="s">
        <v>3350</v>
      </c>
      <c r="E45" t="s">
        <v>3351</v>
      </c>
      <c r="F45" t="s">
        <v>3266</v>
      </c>
      <c r="G45" t="s">
        <v>1793</v>
      </c>
    </row>
    <row r="46" spans="1:7" ht="11.25" customHeight="1">
      <c r="A46" t="s">
        <v>16</v>
      </c>
      <c r="B46" t="s">
        <v>3342</v>
      </c>
      <c r="C46" t="s">
        <v>3343</v>
      </c>
      <c r="D46" t="s">
        <v>3352</v>
      </c>
      <c r="E46" t="s">
        <v>3353</v>
      </c>
      <c r="F46" t="s">
        <v>3262</v>
      </c>
      <c r="G46" t="s">
        <v>1797</v>
      </c>
    </row>
    <row r="47" spans="1:7" ht="11.25" customHeight="1">
      <c r="A47" t="s">
        <v>16</v>
      </c>
      <c r="B47" t="s">
        <v>3342</v>
      </c>
      <c r="C47" t="s">
        <v>3343</v>
      </c>
      <c r="D47" t="s">
        <v>3354</v>
      </c>
      <c r="E47" t="s">
        <v>3355</v>
      </c>
      <c r="F47" t="s">
        <v>3266</v>
      </c>
      <c r="G47" t="s">
        <v>1802</v>
      </c>
    </row>
    <row r="48" spans="1:7" ht="11.25" customHeight="1">
      <c r="A48" t="s">
        <v>16</v>
      </c>
      <c r="B48" t="s">
        <v>3342</v>
      </c>
      <c r="C48" t="s">
        <v>3343</v>
      </c>
      <c r="D48" t="s">
        <v>3342</v>
      </c>
      <c r="E48" t="s">
        <v>3343</v>
      </c>
      <c r="F48" t="s">
        <v>3263</v>
      </c>
      <c r="G48" t="s">
        <v>1807</v>
      </c>
    </row>
    <row r="49" spans="1:7" ht="11.25" customHeight="1">
      <c r="A49" t="s">
        <v>16</v>
      </c>
      <c r="B49" t="s">
        <v>3342</v>
      </c>
      <c r="C49" t="s">
        <v>3343</v>
      </c>
      <c r="D49" t="s">
        <v>3356</v>
      </c>
      <c r="E49" t="s">
        <v>3357</v>
      </c>
      <c r="F49" t="s">
        <v>3262</v>
      </c>
      <c r="G49" t="s">
        <v>1810</v>
      </c>
    </row>
    <row r="50" spans="1:7" ht="11.25" customHeight="1">
      <c r="A50" t="s">
        <v>16</v>
      </c>
      <c r="B50" t="s">
        <v>3342</v>
      </c>
      <c r="C50" t="s">
        <v>3343</v>
      </c>
      <c r="D50" t="s">
        <v>3358</v>
      </c>
      <c r="E50" t="s">
        <v>3359</v>
      </c>
      <c r="F50" t="s">
        <v>3266</v>
      </c>
      <c r="G50" t="s">
        <v>1814</v>
      </c>
    </row>
    <row r="51" spans="1:7" ht="11.25" customHeight="1">
      <c r="A51" t="s">
        <v>16</v>
      </c>
      <c r="B51" t="s">
        <v>3360</v>
      </c>
      <c r="C51" t="s">
        <v>3361</v>
      </c>
      <c r="D51" t="s">
        <v>3360</v>
      </c>
      <c r="E51" t="s">
        <v>3361</v>
      </c>
      <c r="F51" t="s">
        <v>3293</v>
      </c>
      <c r="G51" t="s">
        <v>1819</v>
      </c>
    </row>
    <row r="52" spans="1:7" ht="11.25" customHeight="1">
      <c r="A52" t="s">
        <v>16</v>
      </c>
      <c r="B52" t="s">
        <v>3362</v>
      </c>
      <c r="C52" t="s">
        <v>3363</v>
      </c>
      <c r="D52" t="s">
        <v>3364</v>
      </c>
      <c r="E52" t="s">
        <v>3365</v>
      </c>
      <c r="F52" t="s">
        <v>3262</v>
      </c>
      <c r="G52" t="s">
        <v>1823</v>
      </c>
    </row>
    <row r="53" spans="1:7" ht="11.25" customHeight="1">
      <c r="A53" t="s">
        <v>16</v>
      </c>
      <c r="B53" t="s">
        <v>3362</v>
      </c>
      <c r="C53" t="s">
        <v>3363</v>
      </c>
      <c r="D53" t="s">
        <v>3366</v>
      </c>
      <c r="E53" t="s">
        <v>3367</v>
      </c>
      <c r="F53" t="s">
        <v>3266</v>
      </c>
      <c r="G53" t="s">
        <v>1825</v>
      </c>
    </row>
    <row r="54" spans="1:7" ht="11.25" customHeight="1">
      <c r="A54" t="s">
        <v>16</v>
      </c>
      <c r="B54" t="s">
        <v>3362</v>
      </c>
      <c r="C54" t="s">
        <v>3363</v>
      </c>
      <c r="D54" t="s">
        <v>3368</v>
      </c>
      <c r="E54" t="s">
        <v>3369</v>
      </c>
      <c r="F54" t="s">
        <v>3266</v>
      </c>
      <c r="G54" t="s">
        <v>1828</v>
      </c>
    </row>
    <row r="55" spans="1:7" ht="11.25" customHeight="1">
      <c r="A55" t="s">
        <v>16</v>
      </c>
      <c r="B55" t="s">
        <v>3362</v>
      </c>
      <c r="C55" t="s">
        <v>3363</v>
      </c>
      <c r="D55" t="s">
        <v>3370</v>
      </c>
      <c r="E55" t="s">
        <v>3371</v>
      </c>
      <c r="F55" t="s">
        <v>3266</v>
      </c>
      <c r="G55" t="s">
        <v>1832</v>
      </c>
    </row>
    <row r="56" spans="1:7" ht="11.25" customHeight="1">
      <c r="A56" t="s">
        <v>16</v>
      </c>
      <c r="B56" t="s">
        <v>3362</v>
      </c>
      <c r="C56" t="s">
        <v>3363</v>
      </c>
      <c r="D56" t="s">
        <v>3362</v>
      </c>
      <c r="E56" t="s">
        <v>3363</v>
      </c>
      <c r="F56" t="s">
        <v>3263</v>
      </c>
      <c r="G56" t="s">
        <v>1836</v>
      </c>
    </row>
    <row r="57" spans="1:7" ht="11.25" customHeight="1">
      <c r="A57" t="s">
        <v>16</v>
      </c>
      <c r="B57" t="s">
        <v>3362</v>
      </c>
      <c r="C57" t="s">
        <v>3363</v>
      </c>
      <c r="D57" t="s">
        <v>3372</v>
      </c>
      <c r="E57" t="s">
        <v>3373</v>
      </c>
      <c r="F57" t="s">
        <v>3262</v>
      </c>
      <c r="G57" t="s">
        <v>1839</v>
      </c>
    </row>
    <row r="58" spans="1:7" ht="11.25" customHeight="1">
      <c r="A58" t="s">
        <v>16</v>
      </c>
      <c r="B58" t="s">
        <v>3362</v>
      </c>
      <c r="C58" t="s">
        <v>3363</v>
      </c>
      <c r="D58" t="s">
        <v>3374</v>
      </c>
      <c r="E58" t="s">
        <v>3375</v>
      </c>
      <c r="F58" t="s">
        <v>3266</v>
      </c>
      <c r="G58" t="s">
        <v>1842</v>
      </c>
    </row>
    <row r="59" spans="1:7" ht="11.25" customHeight="1">
      <c r="A59" t="s">
        <v>16</v>
      </c>
      <c r="B59" t="s">
        <v>3362</v>
      </c>
      <c r="C59" t="s">
        <v>3363</v>
      </c>
      <c r="D59" t="s">
        <v>3376</v>
      </c>
      <c r="E59" t="s">
        <v>3377</v>
      </c>
      <c r="F59" t="s">
        <v>3262</v>
      </c>
      <c r="G59" t="s">
        <v>1846</v>
      </c>
    </row>
    <row r="60" spans="1:7" ht="11.25" customHeight="1">
      <c r="A60" t="s">
        <v>16</v>
      </c>
      <c r="B60" t="s">
        <v>3362</v>
      </c>
      <c r="C60" t="s">
        <v>3363</v>
      </c>
      <c r="D60" t="s">
        <v>3378</v>
      </c>
      <c r="E60" t="s">
        <v>3379</v>
      </c>
      <c r="F60" t="s">
        <v>3266</v>
      </c>
      <c r="G60" t="s">
        <v>1849</v>
      </c>
    </row>
    <row r="61" spans="1:7" ht="11.25" customHeight="1">
      <c r="A61" t="s">
        <v>16</v>
      </c>
      <c r="B61" t="s">
        <v>3362</v>
      </c>
      <c r="C61" t="s">
        <v>3363</v>
      </c>
      <c r="D61" t="s">
        <v>3380</v>
      </c>
      <c r="E61" t="s">
        <v>3381</v>
      </c>
      <c r="F61" t="s">
        <v>3262</v>
      </c>
      <c r="G61" t="s">
        <v>3382</v>
      </c>
    </row>
    <row r="62" spans="1:7" ht="11.25" customHeight="1">
      <c r="A62" t="s">
        <v>16</v>
      </c>
      <c r="B62" t="s">
        <v>3362</v>
      </c>
      <c r="C62" t="s">
        <v>3363</v>
      </c>
      <c r="D62" t="s">
        <v>3383</v>
      </c>
      <c r="E62" t="s">
        <v>3384</v>
      </c>
      <c r="F62" t="s">
        <v>3266</v>
      </c>
      <c r="G62" t="s">
        <v>3385</v>
      </c>
    </row>
    <row r="63" spans="1:7" ht="11.25" customHeight="1">
      <c r="A63" t="s">
        <v>16</v>
      </c>
      <c r="B63" t="s">
        <v>3362</v>
      </c>
      <c r="C63" t="s">
        <v>3363</v>
      </c>
      <c r="D63" t="s">
        <v>3386</v>
      </c>
      <c r="E63" t="s">
        <v>3387</v>
      </c>
      <c r="F63" t="s">
        <v>3266</v>
      </c>
      <c r="G63" t="s">
        <v>3388</v>
      </c>
    </row>
    <row r="64" spans="1:7" ht="11.25" customHeight="1">
      <c r="A64" t="s">
        <v>16</v>
      </c>
      <c r="B64" t="s">
        <v>3389</v>
      </c>
      <c r="C64" t="s">
        <v>3390</v>
      </c>
      <c r="D64" t="s">
        <v>3389</v>
      </c>
      <c r="E64" t="s">
        <v>3390</v>
      </c>
      <c r="F64" t="s">
        <v>3293</v>
      </c>
      <c r="G64" t="s">
        <v>3391</v>
      </c>
    </row>
    <row r="65" spans="1:7" ht="11.25" customHeight="1">
      <c r="A65" t="s">
        <v>16</v>
      </c>
      <c r="B65" t="s">
        <v>3392</v>
      </c>
      <c r="C65" t="s">
        <v>3393</v>
      </c>
      <c r="D65" t="s">
        <v>3392</v>
      </c>
      <c r="E65" t="s">
        <v>3393</v>
      </c>
      <c r="F65" t="s">
        <v>3293</v>
      </c>
      <c r="G65" t="s">
        <v>3394</v>
      </c>
    </row>
    <row r="66" spans="1:7" ht="11.25" customHeight="1">
      <c r="A66" t="s">
        <v>16</v>
      </c>
      <c r="B66" t="s">
        <v>3395</v>
      </c>
      <c r="C66" t="s">
        <v>3396</v>
      </c>
      <c r="D66" t="s">
        <v>3395</v>
      </c>
      <c r="E66" t="s">
        <v>3396</v>
      </c>
      <c r="F66" t="s">
        <v>3293</v>
      </c>
      <c r="G66" t="s">
        <v>3397</v>
      </c>
    </row>
    <row r="67" spans="1:7" ht="11.25" customHeight="1">
      <c r="A67" t="s">
        <v>16</v>
      </c>
      <c r="B67" t="s">
        <v>3398</v>
      </c>
      <c r="C67" t="s">
        <v>3399</v>
      </c>
      <c r="D67" t="s">
        <v>3400</v>
      </c>
      <c r="E67" t="s">
        <v>3401</v>
      </c>
      <c r="F67" t="s">
        <v>3262</v>
      </c>
      <c r="G67" t="s">
        <v>2151</v>
      </c>
    </row>
    <row r="68" spans="1:7" ht="11.25" customHeight="1">
      <c r="A68" t="s">
        <v>16</v>
      </c>
      <c r="B68" t="s">
        <v>3398</v>
      </c>
      <c r="C68" t="s">
        <v>3399</v>
      </c>
      <c r="D68" t="s">
        <v>3402</v>
      </c>
      <c r="E68" t="s">
        <v>3403</v>
      </c>
      <c r="F68" t="s">
        <v>3266</v>
      </c>
      <c r="G68" t="s">
        <v>3404</v>
      </c>
    </row>
    <row r="69" spans="1:7" ht="11.25" customHeight="1">
      <c r="A69" t="s">
        <v>16</v>
      </c>
      <c r="B69" t="s">
        <v>3398</v>
      </c>
      <c r="C69" t="s">
        <v>3399</v>
      </c>
      <c r="D69" t="s">
        <v>3405</v>
      </c>
      <c r="E69" t="s">
        <v>3406</v>
      </c>
      <c r="F69" t="s">
        <v>3262</v>
      </c>
      <c r="G69" t="s">
        <v>2351</v>
      </c>
    </row>
    <row r="70" spans="1:7" ht="11.25" customHeight="1">
      <c r="A70" t="s">
        <v>16</v>
      </c>
      <c r="B70" t="s">
        <v>3398</v>
      </c>
      <c r="C70" t="s">
        <v>3399</v>
      </c>
      <c r="D70" t="s">
        <v>3407</v>
      </c>
      <c r="E70" t="s">
        <v>3408</v>
      </c>
      <c r="F70" t="s">
        <v>3262</v>
      </c>
      <c r="G70" t="s">
        <v>3409</v>
      </c>
    </row>
    <row r="71" spans="1:7" ht="11.25" customHeight="1">
      <c r="A71" t="s">
        <v>16</v>
      </c>
      <c r="B71" t="s">
        <v>3398</v>
      </c>
      <c r="C71" t="s">
        <v>3399</v>
      </c>
      <c r="D71" t="s">
        <v>3410</v>
      </c>
      <c r="E71" t="s">
        <v>3411</v>
      </c>
      <c r="F71" t="s">
        <v>3262</v>
      </c>
      <c r="G71" t="s">
        <v>3412</v>
      </c>
    </row>
    <row r="72" spans="1:7" ht="11.25" customHeight="1">
      <c r="A72" t="s">
        <v>16</v>
      </c>
      <c r="B72" t="s">
        <v>3398</v>
      </c>
      <c r="C72" t="s">
        <v>3399</v>
      </c>
      <c r="D72" t="s">
        <v>3413</v>
      </c>
      <c r="E72" t="s">
        <v>3414</v>
      </c>
      <c r="F72" t="s">
        <v>3262</v>
      </c>
      <c r="G72" t="s">
        <v>3415</v>
      </c>
    </row>
    <row r="73" spans="1:7" ht="11.25" customHeight="1">
      <c r="A73" t="s">
        <v>16</v>
      </c>
      <c r="B73" t="s">
        <v>3398</v>
      </c>
      <c r="C73" t="s">
        <v>3399</v>
      </c>
      <c r="D73" t="s">
        <v>3416</v>
      </c>
      <c r="E73" t="s">
        <v>3417</v>
      </c>
      <c r="F73" t="s">
        <v>3418</v>
      </c>
      <c r="G73" t="s">
        <v>3419</v>
      </c>
    </row>
    <row r="74" spans="1:7" ht="11.25" customHeight="1">
      <c r="A74" t="s">
        <v>16</v>
      </c>
      <c r="B74" t="s">
        <v>3398</v>
      </c>
      <c r="C74" t="s">
        <v>3399</v>
      </c>
      <c r="D74" t="s">
        <v>3398</v>
      </c>
      <c r="E74" t="s">
        <v>3399</v>
      </c>
      <c r="F74" t="s">
        <v>3263</v>
      </c>
      <c r="G74" t="s">
        <v>3420</v>
      </c>
    </row>
    <row r="75" spans="1:7" ht="11.25" customHeight="1">
      <c r="A75" t="s">
        <v>16</v>
      </c>
      <c r="B75" t="s">
        <v>3398</v>
      </c>
      <c r="C75" t="s">
        <v>3399</v>
      </c>
      <c r="D75" t="s">
        <v>3421</v>
      </c>
      <c r="E75" t="s">
        <v>3422</v>
      </c>
      <c r="F75" t="s">
        <v>3262</v>
      </c>
      <c r="G75" t="s">
        <v>3423</v>
      </c>
    </row>
    <row r="76" spans="1:7" ht="11.25" customHeight="1">
      <c r="A76" t="s">
        <v>16</v>
      </c>
      <c r="B76" t="s">
        <v>100</v>
      </c>
      <c r="C76" t="s">
        <v>101</v>
      </c>
      <c r="D76" t="s">
        <v>100</v>
      </c>
      <c r="E76" t="s">
        <v>101</v>
      </c>
      <c r="F76" t="s">
        <v>3293</v>
      </c>
      <c r="G76" t="s">
        <v>99</v>
      </c>
    </row>
    <row r="77" spans="1:7" ht="11.25" customHeight="1">
      <c r="A77" t="s">
        <v>16</v>
      </c>
      <c r="B77" t="s">
        <v>3424</v>
      </c>
      <c r="C77" t="s">
        <v>3425</v>
      </c>
      <c r="D77" t="s">
        <v>3426</v>
      </c>
      <c r="E77" t="s">
        <v>3427</v>
      </c>
      <c r="F77" t="s">
        <v>3262</v>
      </c>
      <c r="G77" t="s">
        <v>3428</v>
      </c>
    </row>
    <row r="78" spans="1:7" ht="11.25" customHeight="1">
      <c r="A78" t="s">
        <v>16</v>
      </c>
      <c r="B78" t="s">
        <v>3424</v>
      </c>
      <c r="C78" t="s">
        <v>3425</v>
      </c>
      <c r="D78" t="s">
        <v>3429</v>
      </c>
      <c r="E78" t="s">
        <v>3430</v>
      </c>
      <c r="F78" t="s">
        <v>3262</v>
      </c>
      <c r="G78" t="s">
        <v>3431</v>
      </c>
    </row>
    <row r="79" spans="1:7" ht="11.25" customHeight="1">
      <c r="A79" t="s">
        <v>16</v>
      </c>
      <c r="B79" t="s">
        <v>3424</v>
      </c>
      <c r="C79" t="s">
        <v>3425</v>
      </c>
      <c r="D79" t="s">
        <v>3432</v>
      </c>
      <c r="E79" t="s">
        <v>3433</v>
      </c>
      <c r="F79" t="s">
        <v>3266</v>
      </c>
      <c r="G79" t="s">
        <v>3434</v>
      </c>
    </row>
    <row r="80" spans="1:7" ht="11.25" customHeight="1">
      <c r="A80" t="s">
        <v>16</v>
      </c>
      <c r="B80" t="s">
        <v>3424</v>
      </c>
      <c r="C80" t="s">
        <v>3425</v>
      </c>
      <c r="D80" t="s">
        <v>3435</v>
      </c>
      <c r="E80" t="s">
        <v>3436</v>
      </c>
      <c r="F80" t="s">
        <v>3266</v>
      </c>
      <c r="G80" t="s">
        <v>3437</v>
      </c>
    </row>
    <row r="81" spans="1:7" ht="11.25" customHeight="1">
      <c r="A81" t="s">
        <v>16</v>
      </c>
      <c r="B81" t="s">
        <v>3424</v>
      </c>
      <c r="C81" t="s">
        <v>3425</v>
      </c>
      <c r="D81" t="s">
        <v>3438</v>
      </c>
      <c r="E81" t="s">
        <v>3439</v>
      </c>
      <c r="F81" t="s">
        <v>3418</v>
      </c>
      <c r="G81" t="s">
        <v>3440</v>
      </c>
    </row>
    <row r="82" spans="1:7" ht="11.25" customHeight="1">
      <c r="A82" t="s">
        <v>16</v>
      </c>
      <c r="B82" t="s">
        <v>3424</v>
      </c>
      <c r="C82" t="s">
        <v>3425</v>
      </c>
      <c r="D82" t="s">
        <v>3441</v>
      </c>
      <c r="E82" t="s">
        <v>3442</v>
      </c>
      <c r="F82" t="s">
        <v>3266</v>
      </c>
      <c r="G82" t="s">
        <v>3443</v>
      </c>
    </row>
    <row r="83" spans="1:7" ht="11.25" customHeight="1">
      <c r="A83" t="s">
        <v>16</v>
      </c>
      <c r="B83" t="s">
        <v>3424</v>
      </c>
      <c r="C83" t="s">
        <v>3425</v>
      </c>
      <c r="D83" t="s">
        <v>3444</v>
      </c>
      <c r="E83" t="s">
        <v>3445</v>
      </c>
      <c r="F83" t="s">
        <v>3266</v>
      </c>
      <c r="G83" t="s">
        <v>3446</v>
      </c>
    </row>
    <row r="84" spans="1:7" ht="11.25" customHeight="1">
      <c r="A84" t="s">
        <v>16</v>
      </c>
      <c r="B84" t="s">
        <v>3424</v>
      </c>
      <c r="C84" t="s">
        <v>3425</v>
      </c>
      <c r="D84" t="s">
        <v>3447</v>
      </c>
      <c r="E84" t="s">
        <v>3448</v>
      </c>
      <c r="F84" t="s">
        <v>3266</v>
      </c>
      <c r="G84" t="s">
        <v>3449</v>
      </c>
    </row>
    <row r="85" spans="1:7" ht="11.25" customHeight="1">
      <c r="A85" t="s">
        <v>16</v>
      </c>
      <c r="B85" t="s">
        <v>3424</v>
      </c>
      <c r="C85" t="s">
        <v>3425</v>
      </c>
      <c r="D85" t="s">
        <v>3424</v>
      </c>
      <c r="E85" t="s">
        <v>3425</v>
      </c>
      <c r="F85" t="s">
        <v>3263</v>
      </c>
      <c r="G85" t="s">
        <v>3450</v>
      </c>
    </row>
    <row r="86" spans="1:7" ht="11.25" customHeight="1">
      <c r="A86" t="s">
        <v>16</v>
      </c>
      <c r="B86" t="s">
        <v>3424</v>
      </c>
      <c r="C86" t="s">
        <v>3425</v>
      </c>
      <c r="D86" t="s">
        <v>3451</v>
      </c>
      <c r="E86" t="s">
        <v>3452</v>
      </c>
      <c r="F86" t="s">
        <v>3266</v>
      </c>
      <c r="G86" t="s">
        <v>3453</v>
      </c>
    </row>
    <row r="87" spans="1:7" ht="11.25" customHeight="1">
      <c r="A87" t="s">
        <v>16</v>
      </c>
      <c r="B87" t="s">
        <v>3424</v>
      </c>
      <c r="C87" t="s">
        <v>3425</v>
      </c>
      <c r="D87" t="s">
        <v>3454</v>
      </c>
      <c r="E87" t="s">
        <v>3455</v>
      </c>
      <c r="F87" t="s">
        <v>3266</v>
      </c>
      <c r="G87" t="s">
        <v>3456</v>
      </c>
    </row>
    <row r="88" spans="1:7" ht="11.25" customHeight="1">
      <c r="A88" t="s">
        <v>16</v>
      </c>
      <c r="B88" t="s">
        <v>3424</v>
      </c>
      <c r="C88" t="s">
        <v>3425</v>
      </c>
      <c r="D88" t="s">
        <v>3457</v>
      </c>
      <c r="E88" t="s">
        <v>3458</v>
      </c>
      <c r="F88" t="s">
        <v>3266</v>
      </c>
      <c r="G88" t="s">
        <v>3459</v>
      </c>
    </row>
    <row r="89" spans="1:7" ht="11.25" customHeight="1">
      <c r="A89" t="s">
        <v>16</v>
      </c>
      <c r="B89" t="s">
        <v>3424</v>
      </c>
      <c r="C89" t="s">
        <v>3425</v>
      </c>
      <c r="D89" t="s">
        <v>3460</v>
      </c>
      <c r="E89" t="s">
        <v>3461</v>
      </c>
      <c r="F89" t="s">
        <v>3266</v>
      </c>
      <c r="G89" t="s">
        <v>3462</v>
      </c>
    </row>
    <row r="90" spans="1:7" ht="11.25" customHeight="1">
      <c r="A90" t="s">
        <v>16</v>
      </c>
      <c r="B90" t="s">
        <v>3424</v>
      </c>
      <c r="C90" t="s">
        <v>3425</v>
      </c>
      <c r="D90" t="s">
        <v>3463</v>
      </c>
      <c r="E90" t="s">
        <v>3464</v>
      </c>
      <c r="F90" t="s">
        <v>3262</v>
      </c>
      <c r="G90" t="s">
        <v>3465</v>
      </c>
    </row>
    <row r="91" spans="1:7" ht="11.25" customHeight="1">
      <c r="A91" t="s">
        <v>16</v>
      </c>
      <c r="B91" t="s">
        <v>3466</v>
      </c>
      <c r="C91" t="s">
        <v>3467</v>
      </c>
      <c r="D91" t="s">
        <v>3466</v>
      </c>
      <c r="E91" t="s">
        <v>3467</v>
      </c>
      <c r="F91" t="s">
        <v>3293</v>
      </c>
      <c r="G91" t="s">
        <v>3468</v>
      </c>
    </row>
    <row r="92" spans="1:7" ht="11.25" customHeight="1">
      <c r="A92" t="s">
        <v>16</v>
      </c>
      <c r="B92" t="s">
        <v>3469</v>
      </c>
      <c r="C92" t="s">
        <v>3470</v>
      </c>
      <c r="D92" t="s">
        <v>3469</v>
      </c>
      <c r="E92" t="s">
        <v>3470</v>
      </c>
      <c r="F92" t="s">
        <v>3293</v>
      </c>
      <c r="G92" t="s">
        <v>3471</v>
      </c>
    </row>
    <row r="93" spans="1:7" ht="11.25" customHeight="1">
      <c r="A93" t="s">
        <v>16</v>
      </c>
      <c r="B93" t="s">
        <v>3472</v>
      </c>
      <c r="C93" t="s">
        <v>3473</v>
      </c>
      <c r="D93" t="s">
        <v>3474</v>
      </c>
      <c r="E93" t="s">
        <v>3475</v>
      </c>
      <c r="F93" t="s">
        <v>3266</v>
      </c>
      <c r="G93" t="s">
        <v>3476</v>
      </c>
    </row>
    <row r="94" spans="1:7" ht="11.25" customHeight="1">
      <c r="A94" t="s">
        <v>16</v>
      </c>
      <c r="B94" t="s">
        <v>3472</v>
      </c>
      <c r="C94" t="s">
        <v>3473</v>
      </c>
      <c r="D94" t="s">
        <v>3477</v>
      </c>
      <c r="E94" t="s">
        <v>3478</v>
      </c>
      <c r="F94" t="s">
        <v>3266</v>
      </c>
      <c r="G94" t="s">
        <v>3479</v>
      </c>
    </row>
    <row r="95" spans="1:7" ht="11.25" customHeight="1">
      <c r="A95" t="s">
        <v>16</v>
      </c>
      <c r="B95" t="s">
        <v>3472</v>
      </c>
      <c r="C95" t="s">
        <v>3473</v>
      </c>
      <c r="D95" t="s">
        <v>3480</v>
      </c>
      <c r="E95" t="s">
        <v>3481</v>
      </c>
      <c r="F95" t="s">
        <v>3266</v>
      </c>
      <c r="G95" t="s">
        <v>3482</v>
      </c>
    </row>
    <row r="96" spans="1:7" ht="11.25" customHeight="1">
      <c r="A96" t="s">
        <v>16</v>
      </c>
      <c r="B96" t="s">
        <v>3472</v>
      </c>
      <c r="C96" t="s">
        <v>3473</v>
      </c>
      <c r="D96" t="s">
        <v>3483</v>
      </c>
      <c r="E96" t="s">
        <v>3484</v>
      </c>
      <c r="F96" t="s">
        <v>3266</v>
      </c>
      <c r="G96" t="s">
        <v>3485</v>
      </c>
    </row>
    <row r="97" spans="1:7" ht="11.25" customHeight="1">
      <c r="A97" t="s">
        <v>16</v>
      </c>
      <c r="B97" t="s">
        <v>3472</v>
      </c>
      <c r="C97" t="s">
        <v>3473</v>
      </c>
      <c r="D97" t="s">
        <v>3486</v>
      </c>
      <c r="E97" t="s">
        <v>3487</v>
      </c>
      <c r="F97" t="s">
        <v>3266</v>
      </c>
      <c r="G97" t="s">
        <v>3488</v>
      </c>
    </row>
    <row r="98" spans="1:7" ht="11.25" customHeight="1">
      <c r="A98" t="s">
        <v>16</v>
      </c>
      <c r="B98" t="s">
        <v>3472</v>
      </c>
      <c r="C98" t="s">
        <v>3473</v>
      </c>
      <c r="D98" t="s">
        <v>3489</v>
      </c>
      <c r="E98" t="s">
        <v>3490</v>
      </c>
      <c r="F98" t="s">
        <v>3266</v>
      </c>
      <c r="G98" t="s">
        <v>3491</v>
      </c>
    </row>
    <row r="99" spans="1:7" ht="11.25" customHeight="1">
      <c r="A99" t="s">
        <v>16</v>
      </c>
      <c r="B99" t="s">
        <v>3472</v>
      </c>
      <c r="C99" t="s">
        <v>3473</v>
      </c>
      <c r="D99" t="s">
        <v>3492</v>
      </c>
      <c r="E99" t="s">
        <v>3493</v>
      </c>
      <c r="F99" t="s">
        <v>3266</v>
      </c>
      <c r="G99" t="s">
        <v>3494</v>
      </c>
    </row>
    <row r="100" spans="1:7" ht="11.25" customHeight="1">
      <c r="A100" t="s">
        <v>16</v>
      </c>
      <c r="B100" t="s">
        <v>3472</v>
      </c>
      <c r="C100" t="s">
        <v>3473</v>
      </c>
      <c r="D100" t="s">
        <v>3495</v>
      </c>
      <c r="E100" t="s">
        <v>3496</v>
      </c>
      <c r="F100" t="s">
        <v>3266</v>
      </c>
      <c r="G100" t="s">
        <v>3497</v>
      </c>
    </row>
    <row r="101" spans="1:7" ht="11.25" customHeight="1">
      <c r="A101" t="s">
        <v>16</v>
      </c>
      <c r="B101" t="s">
        <v>3472</v>
      </c>
      <c r="C101" t="s">
        <v>3473</v>
      </c>
      <c r="D101" t="s">
        <v>3498</v>
      </c>
      <c r="E101" t="s">
        <v>3499</v>
      </c>
      <c r="F101" t="s">
        <v>3266</v>
      </c>
      <c r="G101" t="s">
        <v>3500</v>
      </c>
    </row>
    <row r="102" spans="1:7" ht="11.25" customHeight="1">
      <c r="A102" t="s">
        <v>16</v>
      </c>
      <c r="B102" t="s">
        <v>3472</v>
      </c>
      <c r="C102" t="s">
        <v>3473</v>
      </c>
      <c r="D102" t="s">
        <v>3472</v>
      </c>
      <c r="E102" t="s">
        <v>3473</v>
      </c>
      <c r="F102" t="s">
        <v>3263</v>
      </c>
      <c r="G102" t="s">
        <v>3501</v>
      </c>
    </row>
    <row r="103" spans="1:7" ht="11.25" customHeight="1">
      <c r="A103" t="s">
        <v>16</v>
      </c>
      <c r="B103" t="s">
        <v>3472</v>
      </c>
      <c r="C103" t="s">
        <v>3473</v>
      </c>
      <c r="D103" t="s">
        <v>3502</v>
      </c>
      <c r="E103" t="s">
        <v>3503</v>
      </c>
      <c r="F103" t="s">
        <v>3266</v>
      </c>
      <c r="G103" t="s">
        <v>3504</v>
      </c>
    </row>
    <row r="104" spans="1:7" ht="11.25" customHeight="1">
      <c r="A104" t="s">
        <v>16</v>
      </c>
      <c r="B104" t="s">
        <v>3472</v>
      </c>
      <c r="C104" t="s">
        <v>3473</v>
      </c>
      <c r="D104" t="s">
        <v>3505</v>
      </c>
      <c r="E104" t="s">
        <v>3506</v>
      </c>
      <c r="F104" t="s">
        <v>3266</v>
      </c>
      <c r="G104" t="s">
        <v>3507</v>
      </c>
    </row>
    <row r="105" spans="1:7" ht="11.25" customHeight="1">
      <c r="A105" t="s">
        <v>16</v>
      </c>
      <c r="B105" t="s">
        <v>3472</v>
      </c>
      <c r="C105" t="s">
        <v>3473</v>
      </c>
      <c r="D105" t="s">
        <v>3508</v>
      </c>
      <c r="E105" t="s">
        <v>3509</v>
      </c>
      <c r="F105" t="s">
        <v>3266</v>
      </c>
      <c r="G105" t="s">
        <v>3510</v>
      </c>
    </row>
    <row r="106" spans="1:7" ht="11.25" customHeight="1">
      <c r="A106" t="s">
        <v>16</v>
      </c>
      <c r="B106" t="s">
        <v>3511</v>
      </c>
      <c r="C106" t="s">
        <v>3512</v>
      </c>
      <c r="D106" t="s">
        <v>3511</v>
      </c>
      <c r="E106" t="s">
        <v>3512</v>
      </c>
      <c r="F106" t="s">
        <v>3293</v>
      </c>
      <c r="G106" t="s">
        <v>3513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30"/>
  <sheetViews>
    <sheetView showGridLines="0" workbookViewId="0"/>
  </sheetViews>
  <sheetFormatPr defaultColWidth="9.140625" defaultRowHeight="11.25" customHeight="1"/>
  <cols>
    <col min="1" max="1" width="13.85546875" style="32" customWidth="1"/>
  </cols>
  <sheetData>
    <row r="1" spans="1:9" ht="11.25" customHeight="1">
      <c r="A1" s="32" t="s">
        <v>3514</v>
      </c>
      <c r="B1" s="2" t="s">
        <v>3515</v>
      </c>
      <c r="C1" s="2" t="s">
        <v>3516</v>
      </c>
      <c r="D1" s="2" t="s">
        <v>3517</v>
      </c>
      <c r="E1" s="2" t="s">
        <v>3518</v>
      </c>
      <c r="F1" s="2" t="s">
        <v>3519</v>
      </c>
      <c r="G1" s="2" t="s">
        <v>3520</v>
      </c>
      <c r="H1" s="2" t="s">
        <v>3521</v>
      </c>
      <c r="I1" s="2" t="s">
        <v>3522</v>
      </c>
    </row>
    <row r="2" spans="1:9" ht="11.25" customHeight="1">
      <c r="A2" s="32" t="s">
        <v>109</v>
      </c>
      <c r="B2" t="s">
        <v>3523</v>
      </c>
      <c r="C2" t="s">
        <v>22</v>
      </c>
      <c r="D2" t="s">
        <v>3524</v>
      </c>
      <c r="E2" t="s">
        <v>3525</v>
      </c>
      <c r="F2" t="s">
        <v>22</v>
      </c>
      <c r="G2" t="s">
        <v>22</v>
      </c>
      <c r="H2" t="s">
        <v>22</v>
      </c>
      <c r="I2" t="s">
        <v>22</v>
      </c>
    </row>
    <row r="3" spans="1:9" ht="11.25" customHeight="1">
      <c r="A3" s="32" t="s">
        <v>110</v>
      </c>
      <c r="B3" t="s">
        <v>3526</v>
      </c>
      <c r="C3" t="s">
        <v>22</v>
      </c>
      <c r="D3" t="s">
        <v>3524</v>
      </c>
      <c r="E3" t="s">
        <v>3525</v>
      </c>
      <c r="F3" t="s">
        <v>22</v>
      </c>
      <c r="G3" t="s">
        <v>22</v>
      </c>
      <c r="H3" t="s">
        <v>22</v>
      </c>
      <c r="I3" t="s">
        <v>22</v>
      </c>
    </row>
    <row r="4" spans="1:9" ht="11.25" customHeight="1">
      <c r="A4" s="32" t="s">
        <v>90</v>
      </c>
      <c r="B4" t="s">
        <v>1020</v>
      </c>
      <c r="C4" t="s">
        <v>3527</v>
      </c>
      <c r="D4" t="s">
        <v>1024</v>
      </c>
      <c r="E4" t="s">
        <v>1025</v>
      </c>
      <c r="F4" t="s">
        <v>1026</v>
      </c>
      <c r="G4" t="s">
        <v>3528</v>
      </c>
      <c r="H4" t="s">
        <v>1028</v>
      </c>
      <c r="I4" t="s">
        <v>1029</v>
      </c>
    </row>
    <row r="5" spans="1:9" ht="11.25" customHeight="1">
      <c r="A5" s="32" t="s">
        <v>91</v>
      </c>
      <c r="B5" t="s">
        <v>1020</v>
      </c>
      <c r="C5" t="s">
        <v>3527</v>
      </c>
      <c r="D5" t="s">
        <v>1024</v>
      </c>
      <c r="E5" t="s">
        <v>1025</v>
      </c>
      <c r="F5" t="s">
        <v>3529</v>
      </c>
      <c r="G5" t="s">
        <v>3528</v>
      </c>
      <c r="H5" t="s">
        <v>1028</v>
      </c>
      <c r="I5" t="s">
        <v>1029</v>
      </c>
    </row>
    <row r="6" spans="1:9" ht="11.25" customHeight="1">
      <c r="A6" s="32" t="s">
        <v>111</v>
      </c>
      <c r="B6" t="s">
        <v>3530</v>
      </c>
      <c r="C6" t="s">
        <v>3531</v>
      </c>
      <c r="D6" t="s">
        <v>3524</v>
      </c>
      <c r="E6" t="s">
        <v>3532</v>
      </c>
      <c r="F6" t="s">
        <v>3533</v>
      </c>
      <c r="G6" t="s">
        <v>3528</v>
      </c>
      <c r="H6" t="s">
        <v>3534</v>
      </c>
      <c r="I6" t="s">
        <v>3535</v>
      </c>
    </row>
    <row r="7" spans="1:9" ht="11.25" customHeight="1">
      <c r="A7" s="32" t="s">
        <v>92</v>
      </c>
      <c r="B7" t="s">
        <v>3530</v>
      </c>
      <c r="C7" t="s">
        <v>22</v>
      </c>
      <c r="D7" t="s">
        <v>3524</v>
      </c>
      <c r="E7" t="s">
        <v>3532</v>
      </c>
      <c r="F7" t="s">
        <v>22</v>
      </c>
      <c r="G7" t="s">
        <v>22</v>
      </c>
      <c r="H7" t="s">
        <v>22</v>
      </c>
      <c r="I7" t="s">
        <v>22</v>
      </c>
    </row>
    <row r="8" spans="1:9" ht="11.25" customHeight="1">
      <c r="A8" s="32" t="s">
        <v>93</v>
      </c>
      <c r="B8" t="s">
        <v>3536</v>
      </c>
      <c r="C8" t="s">
        <v>22</v>
      </c>
      <c r="D8" t="s">
        <v>3524</v>
      </c>
      <c r="E8" t="s">
        <v>3532</v>
      </c>
      <c r="F8" t="s">
        <v>22</v>
      </c>
      <c r="G8" t="s">
        <v>22</v>
      </c>
      <c r="H8" t="s">
        <v>22</v>
      </c>
      <c r="I8" t="s">
        <v>22</v>
      </c>
    </row>
    <row r="9" spans="1:9" ht="11.25" customHeight="1">
      <c r="A9" s="32" t="s">
        <v>112</v>
      </c>
      <c r="B9" t="s">
        <v>3537</v>
      </c>
      <c r="C9" t="s">
        <v>22</v>
      </c>
      <c r="D9" t="s">
        <v>3524</v>
      </c>
      <c r="E9" t="s">
        <v>3532</v>
      </c>
      <c r="F9" t="s">
        <v>22</v>
      </c>
      <c r="G9" t="s">
        <v>22</v>
      </c>
      <c r="H9" t="s">
        <v>22</v>
      </c>
      <c r="I9" t="s">
        <v>22</v>
      </c>
    </row>
    <row r="10" spans="1:9" ht="11.25" customHeight="1">
      <c r="A10" s="32" t="s">
        <v>156</v>
      </c>
      <c r="B10" t="s">
        <v>3538</v>
      </c>
      <c r="C10" t="s">
        <v>22</v>
      </c>
      <c r="D10" t="s">
        <v>3524</v>
      </c>
      <c r="E10" t="s">
        <v>3539</v>
      </c>
      <c r="F10" t="s">
        <v>22</v>
      </c>
      <c r="G10" t="s">
        <v>22</v>
      </c>
      <c r="H10" t="s">
        <v>22</v>
      </c>
      <c r="I10" t="s">
        <v>22</v>
      </c>
    </row>
    <row r="11" spans="1:9" ht="11.25" customHeight="1">
      <c r="A11" s="32" t="s">
        <v>157</v>
      </c>
      <c r="B11" t="s">
        <v>3540</v>
      </c>
      <c r="C11" t="s">
        <v>22</v>
      </c>
      <c r="D11" t="s">
        <v>3524</v>
      </c>
      <c r="E11" t="s">
        <v>3539</v>
      </c>
      <c r="F11" t="s">
        <v>22</v>
      </c>
      <c r="G11" t="s">
        <v>22</v>
      </c>
      <c r="H11" t="s">
        <v>22</v>
      </c>
      <c r="I11" t="s">
        <v>22</v>
      </c>
    </row>
    <row r="12" spans="1:9" ht="11.25" customHeight="1">
      <c r="A12" s="32" t="s">
        <v>158</v>
      </c>
      <c r="B12" t="s">
        <v>3541</v>
      </c>
      <c r="C12" t="s">
        <v>22</v>
      </c>
      <c r="D12" t="s">
        <v>3524</v>
      </c>
      <c r="E12" t="s">
        <v>3539</v>
      </c>
      <c r="F12" t="s">
        <v>22</v>
      </c>
      <c r="G12" t="s">
        <v>22</v>
      </c>
      <c r="H12" t="s">
        <v>22</v>
      </c>
      <c r="I12" t="s">
        <v>22</v>
      </c>
    </row>
    <row r="13" spans="1:9" ht="11.25" customHeight="1">
      <c r="A13" s="32" t="s">
        <v>159</v>
      </c>
      <c r="B13" t="s">
        <v>3542</v>
      </c>
      <c r="C13" t="s">
        <v>22</v>
      </c>
      <c r="D13" t="s">
        <v>3524</v>
      </c>
      <c r="E13" t="s">
        <v>3539</v>
      </c>
      <c r="F13" t="s">
        <v>22</v>
      </c>
      <c r="G13" t="s">
        <v>22</v>
      </c>
      <c r="H13" t="s">
        <v>22</v>
      </c>
      <c r="I13" t="s">
        <v>22</v>
      </c>
    </row>
    <row r="14" spans="1:9" ht="11.25" customHeight="1">
      <c r="A14" s="32" t="s">
        <v>160</v>
      </c>
      <c r="B14" t="s">
        <v>3543</v>
      </c>
      <c r="C14" t="s">
        <v>22</v>
      </c>
      <c r="D14" t="s">
        <v>3524</v>
      </c>
      <c r="E14" t="s">
        <v>3539</v>
      </c>
      <c r="F14" t="s">
        <v>22</v>
      </c>
      <c r="G14" t="s">
        <v>22</v>
      </c>
      <c r="H14" t="s">
        <v>22</v>
      </c>
      <c r="I14" t="s">
        <v>22</v>
      </c>
    </row>
    <row r="15" spans="1:9" ht="11.25" customHeight="1">
      <c r="A15" s="32" t="s">
        <v>161</v>
      </c>
      <c r="B15" t="s">
        <v>3544</v>
      </c>
      <c r="C15" t="s">
        <v>22</v>
      </c>
      <c r="D15" t="s">
        <v>3524</v>
      </c>
      <c r="E15" t="s">
        <v>3539</v>
      </c>
      <c r="F15" t="s">
        <v>22</v>
      </c>
      <c r="G15" t="s">
        <v>22</v>
      </c>
      <c r="H15" t="s">
        <v>22</v>
      </c>
      <c r="I15" t="s">
        <v>22</v>
      </c>
    </row>
    <row r="16" spans="1:9" ht="11.25" customHeight="1">
      <c r="A16" s="32" t="s">
        <v>1109</v>
      </c>
      <c r="B16" t="s">
        <v>3545</v>
      </c>
      <c r="C16" t="s">
        <v>22</v>
      </c>
      <c r="D16" t="s">
        <v>3546</v>
      </c>
      <c r="E16" t="s">
        <v>3547</v>
      </c>
      <c r="F16" t="s">
        <v>22</v>
      </c>
      <c r="G16" t="s">
        <v>22</v>
      </c>
      <c r="H16" t="s">
        <v>22</v>
      </c>
      <c r="I16" t="s">
        <v>22</v>
      </c>
    </row>
    <row r="17" spans="1:9" ht="11.25" customHeight="1">
      <c r="A17" s="32" t="s">
        <v>1111</v>
      </c>
      <c r="B17" t="s">
        <v>3548</v>
      </c>
      <c r="C17" t="s">
        <v>22</v>
      </c>
      <c r="D17" t="s">
        <v>3524</v>
      </c>
      <c r="E17" t="s">
        <v>3539</v>
      </c>
      <c r="F17" t="s">
        <v>22</v>
      </c>
      <c r="G17" t="s">
        <v>22</v>
      </c>
      <c r="H17" t="s">
        <v>22</v>
      </c>
      <c r="I17" t="s">
        <v>22</v>
      </c>
    </row>
    <row r="18" spans="1:9" ht="11.25" customHeight="1">
      <c r="A18" s="32" t="s">
        <v>1113</v>
      </c>
      <c r="B18" t="s">
        <v>3549</v>
      </c>
      <c r="C18" t="s">
        <v>22</v>
      </c>
      <c r="D18" t="s">
        <v>3524</v>
      </c>
      <c r="E18" t="s">
        <v>3539</v>
      </c>
      <c r="F18" t="s">
        <v>22</v>
      </c>
      <c r="G18" t="s">
        <v>22</v>
      </c>
      <c r="H18" t="s">
        <v>22</v>
      </c>
      <c r="I18" t="s">
        <v>22</v>
      </c>
    </row>
    <row r="19" spans="1:9" ht="11.25" customHeight="1">
      <c r="A19" s="32" t="s">
        <v>1116</v>
      </c>
      <c r="B19" t="s">
        <v>3550</v>
      </c>
      <c r="C19" t="s">
        <v>22</v>
      </c>
      <c r="D19" t="s">
        <v>3524</v>
      </c>
      <c r="E19" t="s">
        <v>3539</v>
      </c>
      <c r="F19" t="s">
        <v>22</v>
      </c>
      <c r="G19" t="s">
        <v>22</v>
      </c>
      <c r="H19" t="s">
        <v>22</v>
      </c>
      <c r="I19" t="s">
        <v>22</v>
      </c>
    </row>
    <row r="20" spans="1:9" ht="11.25" customHeight="1">
      <c r="A20" s="32" t="s">
        <v>1118</v>
      </c>
      <c r="B20" t="s">
        <v>3551</v>
      </c>
      <c r="C20" t="s">
        <v>22</v>
      </c>
      <c r="D20" t="s">
        <v>3524</v>
      </c>
      <c r="E20" t="s">
        <v>3539</v>
      </c>
      <c r="F20" t="s">
        <v>22</v>
      </c>
      <c r="G20" t="s">
        <v>22</v>
      </c>
      <c r="H20" t="s">
        <v>22</v>
      </c>
      <c r="I20" t="s">
        <v>22</v>
      </c>
    </row>
    <row r="21" spans="1:9" ht="11.25" customHeight="1">
      <c r="A21" s="32" t="s">
        <v>1087</v>
      </c>
      <c r="B21" t="s">
        <v>3552</v>
      </c>
      <c r="C21" t="s">
        <v>22</v>
      </c>
      <c r="D21" t="s">
        <v>3524</v>
      </c>
      <c r="E21" t="s">
        <v>3539</v>
      </c>
      <c r="F21" t="s">
        <v>22</v>
      </c>
      <c r="G21" t="s">
        <v>22</v>
      </c>
      <c r="H21" t="s">
        <v>22</v>
      </c>
      <c r="I21" t="s">
        <v>22</v>
      </c>
    </row>
    <row r="22" spans="1:9" ht="11.25" customHeight="1">
      <c r="A22" s="32" t="s">
        <v>1123</v>
      </c>
      <c r="B22" t="s">
        <v>3553</v>
      </c>
      <c r="C22" t="s">
        <v>22</v>
      </c>
      <c r="D22" t="s">
        <v>3524</v>
      </c>
      <c r="E22" t="s">
        <v>3539</v>
      </c>
      <c r="F22" t="s">
        <v>22</v>
      </c>
      <c r="G22" t="s">
        <v>22</v>
      </c>
      <c r="H22" t="s">
        <v>22</v>
      </c>
      <c r="I22" t="s">
        <v>22</v>
      </c>
    </row>
    <row r="23" spans="1:9" ht="11.25" customHeight="1">
      <c r="A23" s="32" t="s">
        <v>1125</v>
      </c>
      <c r="B23" t="s">
        <v>3554</v>
      </c>
      <c r="C23" t="s">
        <v>22</v>
      </c>
      <c r="D23" t="s">
        <v>3524</v>
      </c>
      <c r="E23" t="s">
        <v>3539</v>
      </c>
      <c r="F23" t="s">
        <v>22</v>
      </c>
      <c r="G23" t="s">
        <v>22</v>
      </c>
      <c r="H23" t="s">
        <v>22</v>
      </c>
      <c r="I23" t="s">
        <v>22</v>
      </c>
    </row>
    <row r="24" spans="1:9" ht="11.25" customHeight="1">
      <c r="A24" s="32" t="s">
        <v>1127</v>
      </c>
      <c r="B24" t="s">
        <v>3555</v>
      </c>
      <c r="C24" t="s">
        <v>22</v>
      </c>
      <c r="D24" t="s">
        <v>3524</v>
      </c>
      <c r="E24" t="s">
        <v>3539</v>
      </c>
      <c r="F24" t="s">
        <v>22</v>
      </c>
      <c r="G24" t="s">
        <v>22</v>
      </c>
      <c r="H24" t="s">
        <v>22</v>
      </c>
      <c r="I24" t="s">
        <v>22</v>
      </c>
    </row>
    <row r="25" spans="1:9" ht="11.25" customHeight="1">
      <c r="A25" s="32" t="s">
        <v>1130</v>
      </c>
      <c r="B25" t="s">
        <v>3556</v>
      </c>
      <c r="C25" t="s">
        <v>22</v>
      </c>
      <c r="D25" t="s">
        <v>3546</v>
      </c>
      <c r="E25" t="s">
        <v>3539</v>
      </c>
      <c r="F25" t="s">
        <v>22</v>
      </c>
      <c r="G25" t="s">
        <v>22</v>
      </c>
      <c r="H25" t="s">
        <v>22</v>
      </c>
      <c r="I25" t="s">
        <v>22</v>
      </c>
    </row>
    <row r="26" spans="1:9" ht="11.25" customHeight="1">
      <c r="A26" s="32" t="s">
        <v>1132</v>
      </c>
      <c r="B26" t="s">
        <v>3557</v>
      </c>
      <c r="C26" t="s">
        <v>22</v>
      </c>
      <c r="D26" t="s">
        <v>3524</v>
      </c>
      <c r="E26" t="s">
        <v>3539</v>
      </c>
      <c r="F26" t="s">
        <v>22</v>
      </c>
      <c r="G26" t="s">
        <v>22</v>
      </c>
      <c r="H26" t="s">
        <v>22</v>
      </c>
      <c r="I26" t="s">
        <v>22</v>
      </c>
    </row>
    <row r="27" spans="1:9" ht="11.25" customHeight="1">
      <c r="A27" s="32" t="s">
        <v>1134</v>
      </c>
      <c r="B27" t="s">
        <v>3558</v>
      </c>
      <c r="C27" t="s">
        <v>22</v>
      </c>
      <c r="D27" t="s">
        <v>3524</v>
      </c>
      <c r="E27" t="s">
        <v>3539</v>
      </c>
      <c r="F27" t="s">
        <v>22</v>
      </c>
      <c r="G27" t="s">
        <v>22</v>
      </c>
      <c r="H27" t="s">
        <v>22</v>
      </c>
      <c r="I27" t="s">
        <v>22</v>
      </c>
    </row>
    <row r="28" spans="1:9" ht="11.25" customHeight="1">
      <c r="A28" s="32" t="s">
        <v>1138</v>
      </c>
      <c r="B28" t="s">
        <v>3559</v>
      </c>
      <c r="C28" t="s">
        <v>22</v>
      </c>
      <c r="D28" t="s">
        <v>3524</v>
      </c>
      <c r="E28" t="s">
        <v>3539</v>
      </c>
      <c r="F28" t="s">
        <v>22</v>
      </c>
      <c r="G28" t="s">
        <v>22</v>
      </c>
      <c r="H28" t="s">
        <v>22</v>
      </c>
      <c r="I28" t="s">
        <v>22</v>
      </c>
    </row>
    <row r="29" spans="1:9" ht="11.25" customHeight="1">
      <c r="A29" s="32" t="s">
        <v>1140</v>
      </c>
      <c r="B29" t="s">
        <v>3560</v>
      </c>
      <c r="C29" t="s">
        <v>22</v>
      </c>
      <c r="D29" t="s">
        <v>3524</v>
      </c>
      <c r="E29" t="s">
        <v>3539</v>
      </c>
      <c r="F29" t="s">
        <v>22</v>
      </c>
      <c r="G29" t="s">
        <v>22</v>
      </c>
      <c r="H29" t="s">
        <v>22</v>
      </c>
      <c r="I29" t="s">
        <v>22</v>
      </c>
    </row>
    <row r="30" spans="1:9" ht="11.25" customHeight="1">
      <c r="A30" s="32" t="s">
        <v>1143</v>
      </c>
      <c r="B30" t="s">
        <v>3561</v>
      </c>
      <c r="C30" t="s">
        <v>22</v>
      </c>
      <c r="D30" t="s">
        <v>3524</v>
      </c>
      <c r="E30" t="s">
        <v>3562</v>
      </c>
      <c r="F30" t="s">
        <v>22</v>
      </c>
      <c r="G30" t="s">
        <v>22</v>
      </c>
      <c r="H30" t="s">
        <v>22</v>
      </c>
      <c r="I30"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AK19"/>
  <sheetViews>
    <sheetView workbookViewId="0"/>
  </sheetViews>
  <sheetFormatPr defaultRowHeight="11.25" customHeight="1"/>
  <sheetData>
    <row r="1" spans="1:37" ht="11.25" customHeight="1">
      <c r="A1" t="s">
        <v>2368</v>
      </c>
      <c r="B1" t="s">
        <v>2369</v>
      </c>
      <c r="C1" t="s">
        <v>2370</v>
      </c>
      <c r="D1" t="s">
        <v>3563</v>
      </c>
      <c r="E1" t="s">
        <v>3564</v>
      </c>
      <c r="F1" t="s">
        <v>3565</v>
      </c>
      <c r="G1" t="s">
        <v>3566</v>
      </c>
      <c r="H1" t="s">
        <v>3567</v>
      </c>
      <c r="I1" t="s">
        <v>3568</v>
      </c>
      <c r="J1" t="s">
        <v>3569</v>
      </c>
      <c r="K1" t="s">
        <v>3570</v>
      </c>
      <c r="L1" t="s">
        <v>3571</v>
      </c>
      <c r="M1" t="s">
        <v>3572</v>
      </c>
      <c r="N1" t="s">
        <v>3573</v>
      </c>
      <c r="O1" t="s">
        <v>3252</v>
      </c>
      <c r="P1" t="s">
        <v>3254</v>
      </c>
      <c r="Q1" t="s">
        <v>3255</v>
      </c>
      <c r="R1" t="s">
        <v>3574</v>
      </c>
      <c r="S1" t="s">
        <v>3575</v>
      </c>
      <c r="T1" t="s">
        <v>3576</v>
      </c>
      <c r="U1" t="s">
        <v>3577</v>
      </c>
      <c r="V1" t="s">
        <v>3578</v>
      </c>
      <c r="W1" t="s">
        <v>3579</v>
      </c>
      <c r="X1" t="s">
        <v>3580</v>
      </c>
      <c r="Y1" t="s">
        <v>3581</v>
      </c>
      <c r="Z1" t="s">
        <v>3582</v>
      </c>
      <c r="AA1" t="s">
        <v>3583</v>
      </c>
      <c r="AB1" t="s">
        <v>3584</v>
      </c>
      <c r="AC1" t="s">
        <v>3585</v>
      </c>
      <c r="AD1" t="s">
        <v>3586</v>
      </c>
      <c r="AE1" t="s">
        <v>3587</v>
      </c>
      <c r="AF1" t="s">
        <v>3588</v>
      </c>
      <c r="AG1" t="s">
        <v>3589</v>
      </c>
      <c r="AH1" t="s">
        <v>3590</v>
      </c>
      <c r="AI1" t="s">
        <v>3591</v>
      </c>
      <c r="AJ1" t="s">
        <v>3592</v>
      </c>
      <c r="AK1" t="s">
        <v>3593</v>
      </c>
    </row>
    <row r="2" spans="1:37" ht="11.25" customHeight="1">
      <c r="A2" t="s">
        <v>22</v>
      </c>
      <c r="B2" t="s">
        <v>49</v>
      </c>
      <c r="C2" t="s">
        <v>51</v>
      </c>
      <c r="D2" t="s">
        <v>22</v>
      </c>
      <c r="E2" t="s">
        <v>1159</v>
      </c>
      <c r="F2" t="s">
        <v>1072</v>
      </c>
      <c r="G2" t="s">
        <v>100</v>
      </c>
      <c r="H2" t="s">
        <v>100</v>
      </c>
      <c r="I2" t="s">
        <v>101</v>
      </c>
      <c r="J2" t="s">
        <v>1073</v>
      </c>
      <c r="K2" t="s">
        <v>1074</v>
      </c>
      <c r="L2" t="s">
        <v>382</v>
      </c>
      <c r="M2" t="s">
        <v>382</v>
      </c>
      <c r="N2" t="s">
        <v>109</v>
      </c>
      <c r="O2" t="s">
        <v>100</v>
      </c>
      <c r="P2" t="s">
        <v>100</v>
      </c>
      <c r="Q2" t="s">
        <v>101</v>
      </c>
      <c r="R2" t="s">
        <v>1073</v>
      </c>
      <c r="S2" t="s">
        <v>1074</v>
      </c>
      <c r="T2" t="s">
        <v>3594</v>
      </c>
      <c r="U2" t="s">
        <v>3595</v>
      </c>
      <c r="V2" t="s">
        <v>579</v>
      </c>
      <c r="W2" t="s">
        <v>3596</v>
      </c>
      <c r="X2" t="s">
        <v>3597</v>
      </c>
      <c r="Y2" t="s">
        <v>3595</v>
      </c>
      <c r="Z2" t="s">
        <v>3598</v>
      </c>
      <c r="AA2" t="s">
        <v>3599</v>
      </c>
      <c r="AB2" t="s">
        <v>579</v>
      </c>
      <c r="AC2" t="s">
        <v>62</v>
      </c>
      <c r="AD2" t="s">
        <v>62</v>
      </c>
      <c r="AE2" t="s">
        <v>62</v>
      </c>
      <c r="AF2" t="s">
        <v>2151</v>
      </c>
      <c r="AG2" t="s">
        <v>3600</v>
      </c>
      <c r="AH2" t="s">
        <v>2151</v>
      </c>
      <c r="AI2" t="s">
        <v>3601</v>
      </c>
      <c r="AJ2" t="s">
        <v>2151</v>
      </c>
      <c r="AK2" t="s">
        <v>3602</v>
      </c>
    </row>
    <row r="3" spans="1:37" ht="11.25" customHeight="1">
      <c r="A3" t="s">
        <v>22</v>
      </c>
      <c r="B3" t="s">
        <v>49</v>
      </c>
      <c r="C3" t="s">
        <v>51</v>
      </c>
      <c r="D3" t="s">
        <v>22</v>
      </c>
      <c r="E3" t="s">
        <v>1159</v>
      </c>
      <c r="F3" t="s">
        <v>1072</v>
      </c>
      <c r="G3" t="s">
        <v>100</v>
      </c>
      <c r="H3" t="s">
        <v>100</v>
      </c>
      <c r="I3" t="s">
        <v>101</v>
      </c>
      <c r="J3" t="s">
        <v>1073</v>
      </c>
      <c r="K3" t="s">
        <v>1074</v>
      </c>
      <c r="L3" t="s">
        <v>382</v>
      </c>
      <c r="M3" t="s">
        <v>382</v>
      </c>
      <c r="N3" t="s">
        <v>109</v>
      </c>
      <c r="O3" t="s">
        <v>100</v>
      </c>
      <c r="P3" t="s">
        <v>100</v>
      </c>
      <c r="Q3" t="s">
        <v>101</v>
      </c>
      <c r="R3" t="s">
        <v>1073</v>
      </c>
      <c r="S3" t="s">
        <v>1074</v>
      </c>
      <c r="T3" t="s">
        <v>3594</v>
      </c>
      <c r="U3" t="s">
        <v>3595</v>
      </c>
      <c r="V3" t="s">
        <v>579</v>
      </c>
      <c r="W3" t="s">
        <v>3596</v>
      </c>
      <c r="X3" t="s">
        <v>3597</v>
      </c>
      <c r="Y3" t="s">
        <v>3595</v>
      </c>
      <c r="Z3" t="s">
        <v>3598</v>
      </c>
      <c r="AA3" t="s">
        <v>3599</v>
      </c>
      <c r="AB3" t="s">
        <v>579</v>
      </c>
      <c r="AC3" t="s">
        <v>62</v>
      </c>
      <c r="AD3" t="s">
        <v>62</v>
      </c>
      <c r="AE3" t="s">
        <v>62</v>
      </c>
      <c r="AF3" t="s">
        <v>2151</v>
      </c>
      <c r="AG3" t="s">
        <v>3600</v>
      </c>
      <c r="AH3" t="s">
        <v>2151</v>
      </c>
      <c r="AI3" t="s">
        <v>3601</v>
      </c>
      <c r="AJ3" t="s">
        <v>2151</v>
      </c>
      <c r="AK3" t="s">
        <v>3602</v>
      </c>
    </row>
    <row r="4" spans="1:37" ht="11.25" customHeight="1">
      <c r="A4" t="s">
        <v>22</v>
      </c>
      <c r="B4" t="s">
        <v>49</v>
      </c>
      <c r="C4" t="s">
        <v>51</v>
      </c>
      <c r="D4" t="s">
        <v>22</v>
      </c>
      <c r="E4" t="s">
        <v>1151</v>
      </c>
      <c r="F4" t="s">
        <v>1072</v>
      </c>
      <c r="G4" t="s">
        <v>100</v>
      </c>
      <c r="H4" t="s">
        <v>100</v>
      </c>
      <c r="I4" t="s">
        <v>101</v>
      </c>
      <c r="J4" t="s">
        <v>1073</v>
      </c>
      <c r="K4" t="s">
        <v>1074</v>
      </c>
      <c r="L4" t="s">
        <v>382</v>
      </c>
      <c r="M4" t="s">
        <v>382</v>
      </c>
      <c r="N4" t="s">
        <v>109</v>
      </c>
      <c r="O4" t="s">
        <v>100</v>
      </c>
      <c r="P4" t="s">
        <v>100</v>
      </c>
      <c r="Q4" t="s">
        <v>101</v>
      </c>
      <c r="R4" t="s">
        <v>1073</v>
      </c>
      <c r="S4" t="s">
        <v>1074</v>
      </c>
      <c r="T4" t="s">
        <v>3594</v>
      </c>
      <c r="U4" t="s">
        <v>3595</v>
      </c>
      <c r="V4" t="s">
        <v>579</v>
      </c>
      <c r="W4" t="s">
        <v>3596</v>
      </c>
      <c r="X4" t="s">
        <v>3597</v>
      </c>
      <c r="Y4" t="s">
        <v>3595</v>
      </c>
      <c r="Z4" t="s">
        <v>3603</v>
      </c>
      <c r="AA4" t="s">
        <v>3604</v>
      </c>
      <c r="AB4" t="s">
        <v>579</v>
      </c>
      <c r="AC4" t="s">
        <v>62</v>
      </c>
      <c r="AD4" t="s">
        <v>62</v>
      </c>
      <c r="AE4" t="s">
        <v>62</v>
      </c>
      <c r="AF4" t="s">
        <v>3605</v>
      </c>
      <c r="AG4" t="s">
        <v>3606</v>
      </c>
      <c r="AH4" t="s">
        <v>3605</v>
      </c>
      <c r="AI4" t="s">
        <v>3607</v>
      </c>
      <c r="AJ4" t="s">
        <v>3605</v>
      </c>
      <c r="AK4" t="s">
        <v>3608</v>
      </c>
    </row>
    <row r="5" spans="1:37" ht="11.25" customHeight="1">
      <c r="A5" t="s">
        <v>22</v>
      </c>
      <c r="B5" t="s">
        <v>49</v>
      </c>
      <c r="C5" t="s">
        <v>51</v>
      </c>
      <c r="D5" t="s">
        <v>22</v>
      </c>
      <c r="E5" t="s">
        <v>1151</v>
      </c>
      <c r="F5" t="s">
        <v>1072</v>
      </c>
      <c r="G5" t="s">
        <v>100</v>
      </c>
      <c r="H5" t="s">
        <v>100</v>
      </c>
      <c r="I5" t="s">
        <v>101</v>
      </c>
      <c r="J5" t="s">
        <v>1073</v>
      </c>
      <c r="K5" t="s">
        <v>1074</v>
      </c>
      <c r="L5" t="s">
        <v>382</v>
      </c>
      <c r="M5" t="s">
        <v>382</v>
      </c>
      <c r="N5" t="s">
        <v>109</v>
      </c>
      <c r="O5" t="s">
        <v>100</v>
      </c>
      <c r="P5" t="s">
        <v>100</v>
      </c>
      <c r="Q5" t="s">
        <v>101</v>
      </c>
      <c r="R5" t="s">
        <v>1073</v>
      </c>
      <c r="S5" t="s">
        <v>1074</v>
      </c>
      <c r="T5" t="s">
        <v>3594</v>
      </c>
      <c r="U5" t="s">
        <v>3595</v>
      </c>
      <c r="V5" t="s">
        <v>579</v>
      </c>
      <c r="W5" t="s">
        <v>3596</v>
      </c>
      <c r="X5" t="s">
        <v>3597</v>
      </c>
      <c r="Y5" t="s">
        <v>3595</v>
      </c>
      <c r="Z5" t="s">
        <v>3603</v>
      </c>
      <c r="AA5" t="s">
        <v>3604</v>
      </c>
      <c r="AB5" t="s">
        <v>579</v>
      </c>
      <c r="AC5" t="s">
        <v>62</v>
      </c>
      <c r="AD5" t="s">
        <v>62</v>
      </c>
      <c r="AE5" t="s">
        <v>62</v>
      </c>
      <c r="AF5" t="s">
        <v>3605</v>
      </c>
      <c r="AG5" t="s">
        <v>3606</v>
      </c>
      <c r="AH5" t="s">
        <v>3605</v>
      </c>
      <c r="AI5" t="s">
        <v>3607</v>
      </c>
      <c r="AJ5" t="s">
        <v>3605</v>
      </c>
      <c r="AK5" t="s">
        <v>3609</v>
      </c>
    </row>
    <row r="6" spans="1:37" ht="11.25" customHeight="1">
      <c r="A6" t="s">
        <v>22</v>
      </c>
      <c r="B6" t="s">
        <v>49</v>
      </c>
      <c r="C6" t="s">
        <v>51</v>
      </c>
      <c r="D6" t="s">
        <v>22</v>
      </c>
      <c r="E6" t="s">
        <v>3610</v>
      </c>
      <c r="F6" t="s">
        <v>3611</v>
      </c>
      <c r="G6" t="s">
        <v>100</v>
      </c>
      <c r="H6" t="s">
        <v>100</v>
      </c>
      <c r="I6" t="s">
        <v>101</v>
      </c>
      <c r="J6" t="s">
        <v>1073</v>
      </c>
      <c r="K6" t="s">
        <v>1074</v>
      </c>
      <c r="L6" t="s">
        <v>382</v>
      </c>
      <c r="M6" t="s">
        <v>382</v>
      </c>
      <c r="N6" t="s">
        <v>109</v>
      </c>
      <c r="O6" t="s">
        <v>100</v>
      </c>
      <c r="P6" t="s">
        <v>100</v>
      </c>
      <c r="Q6" t="s">
        <v>101</v>
      </c>
      <c r="R6" t="s">
        <v>1073</v>
      </c>
      <c r="S6" t="s">
        <v>1074</v>
      </c>
      <c r="T6" t="s">
        <v>3594</v>
      </c>
      <c r="U6" t="s">
        <v>3595</v>
      </c>
      <c r="V6" t="s">
        <v>579</v>
      </c>
      <c r="W6" t="s">
        <v>3596</v>
      </c>
      <c r="X6" t="s">
        <v>3597</v>
      </c>
      <c r="Y6" t="s">
        <v>3595</v>
      </c>
      <c r="Z6" t="s">
        <v>3612</v>
      </c>
      <c r="AA6" t="s">
        <v>3613</v>
      </c>
      <c r="AB6" t="s">
        <v>579</v>
      </c>
      <c r="AC6" t="s">
        <v>19</v>
      </c>
      <c r="AD6" t="s">
        <v>19</v>
      </c>
      <c r="AE6" t="s">
        <v>62</v>
      </c>
      <c r="AF6" t="s">
        <v>22</v>
      </c>
      <c r="AG6" t="s">
        <v>22</v>
      </c>
      <c r="AH6" t="s">
        <v>22</v>
      </c>
      <c r="AI6" t="s">
        <v>22</v>
      </c>
      <c r="AJ6" t="s">
        <v>3614</v>
      </c>
      <c r="AK6" t="s">
        <v>3615</v>
      </c>
    </row>
    <row r="7" spans="1:37" ht="11.25" customHeight="1">
      <c r="A7" t="s">
        <v>22</v>
      </c>
      <c r="B7" t="s">
        <v>49</v>
      </c>
      <c r="C7" t="s">
        <v>51</v>
      </c>
      <c r="D7" t="s">
        <v>22</v>
      </c>
      <c r="E7" t="s">
        <v>3610</v>
      </c>
      <c r="F7" t="s">
        <v>3611</v>
      </c>
      <c r="G7" t="s">
        <v>100</v>
      </c>
      <c r="H7" t="s">
        <v>100</v>
      </c>
      <c r="I7" t="s">
        <v>101</v>
      </c>
      <c r="J7" t="s">
        <v>1073</v>
      </c>
      <c r="K7" t="s">
        <v>1074</v>
      </c>
      <c r="L7" t="s">
        <v>382</v>
      </c>
      <c r="M7" t="s">
        <v>382</v>
      </c>
      <c r="N7" t="s">
        <v>109</v>
      </c>
      <c r="O7" t="s">
        <v>100</v>
      </c>
      <c r="P7" t="s">
        <v>100</v>
      </c>
      <c r="Q7" t="s">
        <v>101</v>
      </c>
      <c r="R7" t="s">
        <v>1073</v>
      </c>
      <c r="S7" t="s">
        <v>1074</v>
      </c>
      <c r="T7" t="s">
        <v>3594</v>
      </c>
      <c r="U7" t="s">
        <v>3595</v>
      </c>
      <c r="V7" t="s">
        <v>579</v>
      </c>
      <c r="W7" t="s">
        <v>3596</v>
      </c>
      <c r="X7" t="s">
        <v>3597</v>
      </c>
      <c r="Y7" t="s">
        <v>3595</v>
      </c>
      <c r="Z7" t="s">
        <v>3612</v>
      </c>
      <c r="AA7" t="s">
        <v>3613</v>
      </c>
      <c r="AB7" t="s">
        <v>579</v>
      </c>
      <c r="AC7" t="s">
        <v>19</v>
      </c>
      <c r="AD7" t="s">
        <v>19</v>
      </c>
      <c r="AE7" t="s">
        <v>62</v>
      </c>
      <c r="AF7" t="s">
        <v>22</v>
      </c>
      <c r="AG7" t="s">
        <v>22</v>
      </c>
      <c r="AH7" t="s">
        <v>22</v>
      </c>
      <c r="AI7" t="s">
        <v>22</v>
      </c>
      <c r="AJ7" t="s">
        <v>3614</v>
      </c>
      <c r="AK7" t="s">
        <v>3616</v>
      </c>
    </row>
    <row r="8" spans="1:37" ht="11.25" customHeight="1">
      <c r="A8" t="s">
        <v>22</v>
      </c>
      <c r="B8" t="s">
        <v>49</v>
      </c>
      <c r="C8" t="s">
        <v>51</v>
      </c>
      <c r="D8" t="s">
        <v>22</v>
      </c>
      <c r="E8" t="s">
        <v>3617</v>
      </c>
      <c r="F8" t="s">
        <v>3611</v>
      </c>
      <c r="G8" t="s">
        <v>100</v>
      </c>
      <c r="H8" t="s">
        <v>100</v>
      </c>
      <c r="I8" t="s">
        <v>101</v>
      </c>
      <c r="J8" t="s">
        <v>1073</v>
      </c>
      <c r="K8" t="s">
        <v>1074</v>
      </c>
      <c r="L8" t="s">
        <v>382</v>
      </c>
      <c r="M8" t="s">
        <v>382</v>
      </c>
      <c r="N8" t="s">
        <v>109</v>
      </c>
      <c r="O8" t="s">
        <v>100</v>
      </c>
      <c r="P8" t="s">
        <v>100</v>
      </c>
      <c r="Q8" t="s">
        <v>101</v>
      </c>
      <c r="R8" t="s">
        <v>1073</v>
      </c>
      <c r="S8" t="s">
        <v>1074</v>
      </c>
      <c r="T8" t="s">
        <v>3594</v>
      </c>
      <c r="U8" t="s">
        <v>3595</v>
      </c>
      <c r="V8" t="s">
        <v>579</v>
      </c>
      <c r="W8" t="s">
        <v>3596</v>
      </c>
      <c r="X8" t="s">
        <v>3597</v>
      </c>
      <c r="Y8" t="s">
        <v>3595</v>
      </c>
      <c r="Z8" t="s">
        <v>3618</v>
      </c>
      <c r="AA8" t="s">
        <v>3619</v>
      </c>
      <c r="AB8" t="s">
        <v>579</v>
      </c>
      <c r="AC8" t="s">
        <v>19</v>
      </c>
      <c r="AD8" t="s">
        <v>19</v>
      </c>
      <c r="AE8" t="s">
        <v>62</v>
      </c>
      <c r="AF8" t="s">
        <v>22</v>
      </c>
      <c r="AG8" t="s">
        <v>22</v>
      </c>
      <c r="AH8" t="s">
        <v>22</v>
      </c>
      <c r="AI8" t="s">
        <v>22</v>
      </c>
      <c r="AJ8" t="s">
        <v>3620</v>
      </c>
      <c r="AK8" t="s">
        <v>3621</v>
      </c>
    </row>
    <row r="9" spans="1:37" ht="11.25" customHeight="1">
      <c r="A9" t="s">
        <v>22</v>
      </c>
      <c r="B9" t="s">
        <v>49</v>
      </c>
      <c r="C9" t="s">
        <v>51</v>
      </c>
      <c r="D9" t="s">
        <v>22</v>
      </c>
      <c r="E9" t="s">
        <v>3617</v>
      </c>
      <c r="F9" t="s">
        <v>3611</v>
      </c>
      <c r="G9" t="s">
        <v>100</v>
      </c>
      <c r="H9" t="s">
        <v>100</v>
      </c>
      <c r="I9" t="s">
        <v>101</v>
      </c>
      <c r="J9" t="s">
        <v>1073</v>
      </c>
      <c r="K9" t="s">
        <v>1074</v>
      </c>
      <c r="L9" t="s">
        <v>382</v>
      </c>
      <c r="M9" t="s">
        <v>382</v>
      </c>
      <c r="N9" t="s">
        <v>109</v>
      </c>
      <c r="O9" t="s">
        <v>100</v>
      </c>
      <c r="P9" t="s">
        <v>100</v>
      </c>
      <c r="Q9" t="s">
        <v>101</v>
      </c>
      <c r="R9" t="s">
        <v>1073</v>
      </c>
      <c r="S9" t="s">
        <v>1074</v>
      </c>
      <c r="T9" t="s">
        <v>3594</v>
      </c>
      <c r="U9" t="s">
        <v>3595</v>
      </c>
      <c r="V9" t="s">
        <v>579</v>
      </c>
      <c r="W9" t="s">
        <v>3596</v>
      </c>
      <c r="X9" t="s">
        <v>3597</v>
      </c>
      <c r="Y9" t="s">
        <v>3595</v>
      </c>
      <c r="Z9" t="s">
        <v>3618</v>
      </c>
      <c r="AA9" t="s">
        <v>3619</v>
      </c>
      <c r="AB9" t="s">
        <v>579</v>
      </c>
      <c r="AC9" t="s">
        <v>19</v>
      </c>
      <c r="AD9" t="s">
        <v>19</v>
      </c>
      <c r="AE9" t="s">
        <v>62</v>
      </c>
      <c r="AF9" t="s">
        <v>22</v>
      </c>
      <c r="AG9" t="s">
        <v>22</v>
      </c>
      <c r="AH9" t="s">
        <v>22</v>
      </c>
      <c r="AI9" t="s">
        <v>22</v>
      </c>
      <c r="AJ9" t="s">
        <v>3620</v>
      </c>
      <c r="AK9" t="s">
        <v>3622</v>
      </c>
    </row>
    <row r="10" spans="1:37" ht="11.25" customHeight="1">
      <c r="A10" t="s">
        <v>22</v>
      </c>
      <c r="B10" t="s">
        <v>49</v>
      </c>
      <c r="C10" t="s">
        <v>51</v>
      </c>
      <c r="D10" t="s">
        <v>22</v>
      </c>
      <c r="E10" t="s">
        <v>1171</v>
      </c>
      <c r="F10" t="s">
        <v>1072</v>
      </c>
      <c r="G10" t="s">
        <v>100</v>
      </c>
      <c r="H10" t="s">
        <v>100</v>
      </c>
      <c r="I10" t="s">
        <v>101</v>
      </c>
      <c r="J10" t="s">
        <v>1073</v>
      </c>
      <c r="K10" t="s">
        <v>1074</v>
      </c>
      <c r="L10" t="s">
        <v>1172</v>
      </c>
      <c r="M10" t="s">
        <v>1173</v>
      </c>
      <c r="N10" t="s">
        <v>109</v>
      </c>
      <c r="O10" t="s">
        <v>100</v>
      </c>
      <c r="P10" t="s">
        <v>100</v>
      </c>
      <c r="Q10" t="s">
        <v>101</v>
      </c>
      <c r="R10" t="s">
        <v>1073</v>
      </c>
      <c r="S10" t="s">
        <v>1074</v>
      </c>
      <c r="T10" t="s">
        <v>3594</v>
      </c>
      <c r="U10" t="s">
        <v>3595</v>
      </c>
      <c r="V10" t="s">
        <v>579</v>
      </c>
      <c r="W10" t="s">
        <v>3596</v>
      </c>
      <c r="X10" t="s">
        <v>3597</v>
      </c>
      <c r="Y10" t="s">
        <v>3595</v>
      </c>
      <c r="Z10" t="s">
        <v>3623</v>
      </c>
      <c r="AA10" t="s">
        <v>3624</v>
      </c>
      <c r="AB10" t="s">
        <v>579</v>
      </c>
      <c r="AC10" t="s">
        <v>62</v>
      </c>
      <c r="AD10" t="s">
        <v>62</v>
      </c>
      <c r="AE10" t="s">
        <v>62</v>
      </c>
      <c r="AF10" t="s">
        <v>3625</v>
      </c>
      <c r="AG10" t="s">
        <v>3626</v>
      </c>
      <c r="AH10" t="s">
        <v>3625</v>
      </c>
      <c r="AI10" t="s">
        <v>3627</v>
      </c>
      <c r="AJ10" t="s">
        <v>3625</v>
      </c>
      <c r="AK10" t="s">
        <v>3628</v>
      </c>
    </row>
    <row r="11" spans="1:37" ht="11.25" customHeight="1">
      <c r="A11" t="s">
        <v>22</v>
      </c>
      <c r="B11" t="s">
        <v>49</v>
      </c>
      <c r="C11" t="s">
        <v>51</v>
      </c>
      <c r="D11" t="s">
        <v>22</v>
      </c>
      <c r="E11" t="s">
        <v>1171</v>
      </c>
      <c r="F11" t="s">
        <v>1072</v>
      </c>
      <c r="G11" t="s">
        <v>100</v>
      </c>
      <c r="H11" t="s">
        <v>100</v>
      </c>
      <c r="I11" t="s">
        <v>101</v>
      </c>
      <c r="J11" t="s">
        <v>1073</v>
      </c>
      <c r="K11" t="s">
        <v>1074</v>
      </c>
      <c r="L11" t="s">
        <v>1172</v>
      </c>
      <c r="M11" t="s">
        <v>1173</v>
      </c>
      <c r="N11" t="s">
        <v>109</v>
      </c>
      <c r="O11" t="s">
        <v>100</v>
      </c>
      <c r="P11" t="s">
        <v>100</v>
      </c>
      <c r="Q11" t="s">
        <v>101</v>
      </c>
      <c r="R11" t="s">
        <v>1073</v>
      </c>
      <c r="S11" t="s">
        <v>1074</v>
      </c>
      <c r="T11" t="s">
        <v>3594</v>
      </c>
      <c r="U11" t="s">
        <v>3595</v>
      </c>
      <c r="V11" t="s">
        <v>579</v>
      </c>
      <c r="W11" t="s">
        <v>3596</v>
      </c>
      <c r="X11" t="s">
        <v>3597</v>
      </c>
      <c r="Y11" t="s">
        <v>3595</v>
      </c>
      <c r="Z11" t="s">
        <v>3623</v>
      </c>
      <c r="AA11" t="s">
        <v>3624</v>
      </c>
      <c r="AB11" t="s">
        <v>579</v>
      </c>
      <c r="AC11" t="s">
        <v>62</v>
      </c>
      <c r="AD11" t="s">
        <v>62</v>
      </c>
      <c r="AE11" t="s">
        <v>62</v>
      </c>
      <c r="AF11" t="s">
        <v>3625</v>
      </c>
      <c r="AG11" t="s">
        <v>3626</v>
      </c>
      <c r="AH11" t="s">
        <v>3625</v>
      </c>
      <c r="AI11" t="s">
        <v>3627</v>
      </c>
      <c r="AJ11" t="s">
        <v>3625</v>
      </c>
      <c r="AK11" t="s">
        <v>3628</v>
      </c>
    </row>
    <row r="12" spans="1:37" ht="11.25" customHeight="1">
      <c r="A12" t="s">
        <v>22</v>
      </c>
      <c r="B12" t="s">
        <v>49</v>
      </c>
      <c r="C12" t="s">
        <v>51</v>
      </c>
      <c r="D12" t="s">
        <v>22</v>
      </c>
      <c r="E12" t="s">
        <v>1096</v>
      </c>
      <c r="F12" t="s">
        <v>1072</v>
      </c>
      <c r="G12" t="s">
        <v>100</v>
      </c>
      <c r="H12" t="s">
        <v>100</v>
      </c>
      <c r="I12" t="s">
        <v>101</v>
      </c>
      <c r="J12" t="s">
        <v>1073</v>
      </c>
      <c r="K12" t="s">
        <v>1074</v>
      </c>
      <c r="L12" t="s">
        <v>1075</v>
      </c>
      <c r="M12" t="s">
        <v>1097</v>
      </c>
      <c r="N12" t="s">
        <v>109</v>
      </c>
      <c r="O12" t="s">
        <v>100</v>
      </c>
      <c r="P12" t="s">
        <v>100</v>
      </c>
      <c r="Q12" t="s">
        <v>101</v>
      </c>
      <c r="R12" t="s">
        <v>1073</v>
      </c>
      <c r="S12" t="s">
        <v>1074</v>
      </c>
      <c r="T12" t="s">
        <v>3594</v>
      </c>
      <c r="U12" t="s">
        <v>3595</v>
      </c>
      <c r="V12" t="s">
        <v>579</v>
      </c>
      <c r="W12" t="s">
        <v>3596</v>
      </c>
      <c r="X12" t="s">
        <v>3597</v>
      </c>
      <c r="Y12" t="s">
        <v>3595</v>
      </c>
      <c r="Z12" t="s">
        <v>3629</v>
      </c>
      <c r="AA12" t="s">
        <v>3630</v>
      </c>
      <c r="AB12" t="s">
        <v>579</v>
      </c>
      <c r="AC12" t="s">
        <v>62</v>
      </c>
      <c r="AD12" t="s">
        <v>62</v>
      </c>
      <c r="AE12" t="s">
        <v>62</v>
      </c>
      <c r="AF12" t="s">
        <v>3631</v>
      </c>
      <c r="AG12" t="s">
        <v>3632</v>
      </c>
      <c r="AH12" t="s">
        <v>3633</v>
      </c>
      <c r="AI12" t="s">
        <v>3634</v>
      </c>
      <c r="AJ12" t="s">
        <v>3633</v>
      </c>
      <c r="AK12" t="s">
        <v>3635</v>
      </c>
    </row>
    <row r="13" spans="1:37" ht="11.25" customHeight="1">
      <c r="A13" t="s">
        <v>22</v>
      </c>
      <c r="B13" t="s">
        <v>49</v>
      </c>
      <c r="C13" t="s">
        <v>51</v>
      </c>
      <c r="D13" t="s">
        <v>22</v>
      </c>
      <c r="E13" t="s">
        <v>1096</v>
      </c>
      <c r="F13" t="s">
        <v>1072</v>
      </c>
      <c r="G13" t="s">
        <v>100</v>
      </c>
      <c r="H13" t="s">
        <v>100</v>
      </c>
      <c r="I13" t="s">
        <v>101</v>
      </c>
      <c r="J13" t="s">
        <v>1073</v>
      </c>
      <c r="K13" t="s">
        <v>1074</v>
      </c>
      <c r="L13" t="s">
        <v>1075</v>
      </c>
      <c r="M13" t="s">
        <v>1097</v>
      </c>
      <c r="N13" t="s">
        <v>109</v>
      </c>
      <c r="O13" t="s">
        <v>100</v>
      </c>
      <c r="P13" t="s">
        <v>100</v>
      </c>
      <c r="Q13" t="s">
        <v>101</v>
      </c>
      <c r="R13" t="s">
        <v>1073</v>
      </c>
      <c r="S13" t="s">
        <v>1074</v>
      </c>
      <c r="T13" t="s">
        <v>3594</v>
      </c>
      <c r="U13" t="s">
        <v>3595</v>
      </c>
      <c r="V13" t="s">
        <v>579</v>
      </c>
      <c r="W13" t="s">
        <v>3596</v>
      </c>
      <c r="X13" t="s">
        <v>3597</v>
      </c>
      <c r="Y13" t="s">
        <v>3595</v>
      </c>
      <c r="Z13" t="s">
        <v>3629</v>
      </c>
      <c r="AA13" t="s">
        <v>3630</v>
      </c>
      <c r="AB13" t="s">
        <v>579</v>
      </c>
      <c r="AC13" t="s">
        <v>62</v>
      </c>
      <c r="AD13" t="s">
        <v>62</v>
      </c>
      <c r="AE13" t="s">
        <v>62</v>
      </c>
      <c r="AF13" t="s">
        <v>3631</v>
      </c>
      <c r="AG13" t="s">
        <v>3636</v>
      </c>
      <c r="AH13" t="s">
        <v>3633</v>
      </c>
      <c r="AI13" t="s">
        <v>3637</v>
      </c>
      <c r="AJ13" t="s">
        <v>3638</v>
      </c>
      <c r="AK13" t="s">
        <v>3639</v>
      </c>
    </row>
    <row r="14" spans="1:37" ht="11.25" customHeight="1">
      <c r="A14" t="s">
        <v>22</v>
      </c>
      <c r="B14" t="s">
        <v>49</v>
      </c>
      <c r="C14" t="s">
        <v>51</v>
      </c>
      <c r="D14" t="s">
        <v>22</v>
      </c>
      <c r="E14" t="s">
        <v>1085</v>
      </c>
      <c r="F14" t="s">
        <v>1072</v>
      </c>
      <c r="G14" t="s">
        <v>100</v>
      </c>
      <c r="H14" t="s">
        <v>100</v>
      </c>
      <c r="I14" t="s">
        <v>101</v>
      </c>
      <c r="J14" t="s">
        <v>1073</v>
      </c>
      <c r="K14" t="s">
        <v>1074</v>
      </c>
      <c r="L14" t="s">
        <v>1086</v>
      </c>
      <c r="M14" t="s">
        <v>1087</v>
      </c>
      <c r="N14" t="s">
        <v>109</v>
      </c>
      <c r="O14" t="s">
        <v>100</v>
      </c>
      <c r="P14" t="s">
        <v>100</v>
      </c>
      <c r="Q14" t="s">
        <v>101</v>
      </c>
      <c r="R14" t="s">
        <v>1073</v>
      </c>
      <c r="S14" t="s">
        <v>1074</v>
      </c>
      <c r="T14" t="s">
        <v>3594</v>
      </c>
      <c r="U14" t="s">
        <v>3595</v>
      </c>
      <c r="V14" t="s">
        <v>579</v>
      </c>
      <c r="W14" t="s">
        <v>3596</v>
      </c>
      <c r="X14" t="s">
        <v>3597</v>
      </c>
      <c r="Y14" t="s">
        <v>3595</v>
      </c>
      <c r="Z14" t="s">
        <v>3640</v>
      </c>
      <c r="AA14" t="s">
        <v>3641</v>
      </c>
      <c r="AB14" t="s">
        <v>579</v>
      </c>
      <c r="AC14" t="s">
        <v>62</v>
      </c>
      <c r="AD14" t="s">
        <v>62</v>
      </c>
      <c r="AE14" t="s">
        <v>62</v>
      </c>
      <c r="AF14" t="s">
        <v>3642</v>
      </c>
      <c r="AG14" t="s">
        <v>3643</v>
      </c>
      <c r="AH14" t="s">
        <v>3642</v>
      </c>
      <c r="AI14" t="s">
        <v>3644</v>
      </c>
      <c r="AJ14" t="s">
        <v>3642</v>
      </c>
      <c r="AK14" t="s">
        <v>3645</v>
      </c>
    </row>
    <row r="15" spans="1:37" ht="11.25" customHeight="1">
      <c r="A15" t="s">
        <v>22</v>
      </c>
      <c r="B15" t="s">
        <v>49</v>
      </c>
      <c r="C15" t="s">
        <v>51</v>
      </c>
      <c r="D15" t="s">
        <v>22</v>
      </c>
      <c r="E15" t="s">
        <v>1085</v>
      </c>
      <c r="F15" t="s">
        <v>1072</v>
      </c>
      <c r="G15" t="s">
        <v>100</v>
      </c>
      <c r="H15" t="s">
        <v>100</v>
      </c>
      <c r="I15" t="s">
        <v>101</v>
      </c>
      <c r="J15" t="s">
        <v>1073</v>
      </c>
      <c r="K15" t="s">
        <v>1074</v>
      </c>
      <c r="L15" t="s">
        <v>1086</v>
      </c>
      <c r="M15" t="s">
        <v>1087</v>
      </c>
      <c r="N15" t="s">
        <v>109</v>
      </c>
      <c r="O15" t="s">
        <v>100</v>
      </c>
      <c r="P15" t="s">
        <v>100</v>
      </c>
      <c r="Q15" t="s">
        <v>101</v>
      </c>
      <c r="R15" t="s">
        <v>1073</v>
      </c>
      <c r="S15" t="s">
        <v>1074</v>
      </c>
      <c r="T15" t="s">
        <v>3594</v>
      </c>
      <c r="U15" t="s">
        <v>3595</v>
      </c>
      <c r="V15" t="s">
        <v>579</v>
      </c>
      <c r="W15" t="s">
        <v>3596</v>
      </c>
      <c r="X15" t="s">
        <v>3597</v>
      </c>
      <c r="Y15" t="s">
        <v>3595</v>
      </c>
      <c r="Z15" t="s">
        <v>3640</v>
      </c>
      <c r="AA15" t="s">
        <v>3641</v>
      </c>
      <c r="AB15" t="s">
        <v>579</v>
      </c>
      <c r="AC15" t="s">
        <v>62</v>
      </c>
      <c r="AD15" t="s">
        <v>62</v>
      </c>
      <c r="AE15" t="s">
        <v>62</v>
      </c>
      <c r="AF15" t="s">
        <v>3642</v>
      </c>
      <c r="AG15" t="s">
        <v>3643</v>
      </c>
      <c r="AH15" t="s">
        <v>3642</v>
      </c>
      <c r="AI15" t="s">
        <v>3644</v>
      </c>
      <c r="AJ15" t="s">
        <v>3642</v>
      </c>
      <c r="AK15" t="s">
        <v>3645</v>
      </c>
    </row>
    <row r="16" spans="1:37" ht="11.25" customHeight="1">
      <c r="A16" t="s">
        <v>22</v>
      </c>
      <c r="B16" t="s">
        <v>49</v>
      </c>
      <c r="C16" t="s">
        <v>51</v>
      </c>
      <c r="D16" t="s">
        <v>22</v>
      </c>
      <c r="E16" t="s">
        <v>1137</v>
      </c>
      <c r="F16" t="s">
        <v>1072</v>
      </c>
      <c r="G16" t="s">
        <v>100</v>
      </c>
      <c r="H16" t="s">
        <v>100</v>
      </c>
      <c r="I16" t="s">
        <v>101</v>
      </c>
      <c r="J16" t="s">
        <v>1073</v>
      </c>
      <c r="K16" t="s">
        <v>1074</v>
      </c>
      <c r="L16" t="s">
        <v>382</v>
      </c>
      <c r="M16" t="s">
        <v>382</v>
      </c>
      <c r="N16" t="s">
        <v>109</v>
      </c>
      <c r="O16" t="s">
        <v>100</v>
      </c>
      <c r="P16" t="s">
        <v>100</v>
      </c>
      <c r="Q16" t="s">
        <v>101</v>
      </c>
      <c r="R16" t="s">
        <v>1073</v>
      </c>
      <c r="S16" t="s">
        <v>1074</v>
      </c>
      <c r="T16" t="s">
        <v>3594</v>
      </c>
      <c r="U16" t="s">
        <v>3595</v>
      </c>
      <c r="V16" t="s">
        <v>579</v>
      </c>
      <c r="W16" t="s">
        <v>3596</v>
      </c>
      <c r="X16" t="s">
        <v>3597</v>
      </c>
      <c r="Y16" t="s">
        <v>3595</v>
      </c>
      <c r="Z16" t="s">
        <v>3646</v>
      </c>
      <c r="AA16" t="s">
        <v>3647</v>
      </c>
      <c r="AB16" t="s">
        <v>579</v>
      </c>
      <c r="AC16" t="s">
        <v>62</v>
      </c>
      <c r="AD16" t="s">
        <v>62</v>
      </c>
      <c r="AE16" t="s">
        <v>62</v>
      </c>
      <c r="AF16" t="s">
        <v>3453</v>
      </c>
      <c r="AG16" t="s">
        <v>3648</v>
      </c>
      <c r="AH16" t="s">
        <v>3453</v>
      </c>
      <c r="AI16" t="s">
        <v>3649</v>
      </c>
      <c r="AJ16" t="s">
        <v>3453</v>
      </c>
      <c r="AK16" t="s">
        <v>3650</v>
      </c>
    </row>
    <row r="17" spans="1:37" ht="11.25" customHeight="1">
      <c r="A17" t="s">
        <v>22</v>
      </c>
      <c r="B17" t="s">
        <v>49</v>
      </c>
      <c r="C17" t="s">
        <v>51</v>
      </c>
      <c r="D17" t="s">
        <v>22</v>
      </c>
      <c r="E17" t="s">
        <v>1137</v>
      </c>
      <c r="F17" t="s">
        <v>1072</v>
      </c>
      <c r="G17" t="s">
        <v>100</v>
      </c>
      <c r="H17" t="s">
        <v>100</v>
      </c>
      <c r="I17" t="s">
        <v>101</v>
      </c>
      <c r="J17" t="s">
        <v>1073</v>
      </c>
      <c r="K17" t="s">
        <v>1074</v>
      </c>
      <c r="L17" t="s">
        <v>382</v>
      </c>
      <c r="M17" t="s">
        <v>382</v>
      </c>
      <c r="N17" t="s">
        <v>109</v>
      </c>
      <c r="O17" t="s">
        <v>100</v>
      </c>
      <c r="P17" t="s">
        <v>100</v>
      </c>
      <c r="Q17" t="s">
        <v>101</v>
      </c>
      <c r="R17" t="s">
        <v>1073</v>
      </c>
      <c r="S17" t="s">
        <v>1074</v>
      </c>
      <c r="T17" t="s">
        <v>3594</v>
      </c>
      <c r="U17" t="s">
        <v>3595</v>
      </c>
      <c r="V17" t="s">
        <v>579</v>
      </c>
      <c r="W17" t="s">
        <v>3596</v>
      </c>
      <c r="X17" t="s">
        <v>3597</v>
      </c>
      <c r="Y17" t="s">
        <v>3595</v>
      </c>
      <c r="Z17" t="s">
        <v>3646</v>
      </c>
      <c r="AA17" t="s">
        <v>3647</v>
      </c>
      <c r="AB17" t="s">
        <v>579</v>
      </c>
      <c r="AC17" t="s">
        <v>62</v>
      </c>
      <c r="AD17" t="s">
        <v>62</v>
      </c>
      <c r="AE17" t="s">
        <v>62</v>
      </c>
      <c r="AF17" t="s">
        <v>3453</v>
      </c>
      <c r="AG17" t="s">
        <v>3648</v>
      </c>
      <c r="AH17" t="s">
        <v>3453</v>
      </c>
      <c r="AI17" t="s">
        <v>3649</v>
      </c>
      <c r="AJ17" t="s">
        <v>3453</v>
      </c>
      <c r="AK17" t="s">
        <v>3650</v>
      </c>
    </row>
    <row r="18" spans="1:37" ht="11.25" customHeight="1">
      <c r="A18" t="s">
        <v>22</v>
      </c>
      <c r="B18" t="s">
        <v>49</v>
      </c>
      <c r="C18" t="s">
        <v>51</v>
      </c>
      <c r="D18" t="s">
        <v>22</v>
      </c>
      <c r="E18" t="s">
        <v>1071</v>
      </c>
      <c r="F18" t="s">
        <v>1072</v>
      </c>
      <c r="G18" t="s">
        <v>100</v>
      </c>
      <c r="H18" t="s">
        <v>100</v>
      </c>
      <c r="I18" t="s">
        <v>101</v>
      </c>
      <c r="J18" t="s">
        <v>1073</v>
      </c>
      <c r="K18" t="s">
        <v>1074</v>
      </c>
      <c r="L18" t="s">
        <v>1075</v>
      </c>
      <c r="M18" t="s">
        <v>1076</v>
      </c>
      <c r="N18" t="s">
        <v>109</v>
      </c>
      <c r="O18" t="s">
        <v>100</v>
      </c>
      <c r="P18" t="s">
        <v>100</v>
      </c>
      <c r="Q18" t="s">
        <v>101</v>
      </c>
      <c r="R18" t="s">
        <v>1073</v>
      </c>
      <c r="S18" t="s">
        <v>1074</v>
      </c>
      <c r="T18" t="s">
        <v>3594</v>
      </c>
      <c r="U18" t="s">
        <v>3595</v>
      </c>
      <c r="V18" t="s">
        <v>579</v>
      </c>
      <c r="W18" t="s">
        <v>3596</v>
      </c>
      <c r="X18" t="s">
        <v>3597</v>
      </c>
      <c r="Y18" t="s">
        <v>3595</v>
      </c>
      <c r="Z18" t="s">
        <v>3651</v>
      </c>
      <c r="AA18" t="s">
        <v>3652</v>
      </c>
      <c r="AB18" t="s">
        <v>579</v>
      </c>
      <c r="AC18" t="s">
        <v>62</v>
      </c>
      <c r="AD18" t="s">
        <v>62</v>
      </c>
      <c r="AE18" t="s">
        <v>62</v>
      </c>
      <c r="AF18" t="s">
        <v>3653</v>
      </c>
      <c r="AG18" t="s">
        <v>3654</v>
      </c>
      <c r="AH18" t="s">
        <v>3653</v>
      </c>
      <c r="AI18" t="s">
        <v>3655</v>
      </c>
      <c r="AJ18" t="s">
        <v>3653</v>
      </c>
      <c r="AK18" t="s">
        <v>3656</v>
      </c>
    </row>
    <row r="19" spans="1:37" ht="11.25" customHeight="1">
      <c r="A19" t="s">
        <v>22</v>
      </c>
      <c r="B19" t="s">
        <v>49</v>
      </c>
      <c r="C19" t="s">
        <v>51</v>
      </c>
      <c r="D19" t="s">
        <v>22</v>
      </c>
      <c r="E19" t="s">
        <v>1071</v>
      </c>
      <c r="F19" t="s">
        <v>1072</v>
      </c>
      <c r="G19" t="s">
        <v>100</v>
      </c>
      <c r="H19" t="s">
        <v>100</v>
      </c>
      <c r="I19" t="s">
        <v>101</v>
      </c>
      <c r="J19" t="s">
        <v>1073</v>
      </c>
      <c r="K19" t="s">
        <v>1074</v>
      </c>
      <c r="L19" t="s">
        <v>1075</v>
      </c>
      <c r="M19" t="s">
        <v>1076</v>
      </c>
      <c r="N19" t="s">
        <v>109</v>
      </c>
      <c r="O19" t="s">
        <v>100</v>
      </c>
      <c r="P19" t="s">
        <v>100</v>
      </c>
      <c r="Q19" t="s">
        <v>101</v>
      </c>
      <c r="R19" t="s">
        <v>1073</v>
      </c>
      <c r="S19" t="s">
        <v>1074</v>
      </c>
      <c r="T19" t="s">
        <v>3594</v>
      </c>
      <c r="U19" t="s">
        <v>3595</v>
      </c>
      <c r="V19" t="s">
        <v>579</v>
      </c>
      <c r="W19" t="s">
        <v>3596</v>
      </c>
      <c r="X19" t="s">
        <v>3597</v>
      </c>
      <c r="Y19" t="s">
        <v>3595</v>
      </c>
      <c r="Z19" t="s">
        <v>3651</v>
      </c>
      <c r="AA19" t="s">
        <v>3652</v>
      </c>
      <c r="AB19" t="s">
        <v>579</v>
      </c>
      <c r="AC19" t="s">
        <v>62</v>
      </c>
      <c r="AD19" t="s">
        <v>62</v>
      </c>
      <c r="AE19" t="s">
        <v>62</v>
      </c>
      <c r="AF19" t="s">
        <v>3653</v>
      </c>
      <c r="AG19" t="s">
        <v>3654</v>
      </c>
      <c r="AH19" t="s">
        <v>3653</v>
      </c>
      <c r="AI19" t="s">
        <v>3655</v>
      </c>
      <c r="AJ19" t="s">
        <v>3653</v>
      </c>
      <c r="AK19" t="s">
        <v>3656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customWidth="1"/>
    <col min="27" max="27" width="1.7109375" style="11" hidden="1" customWidth="1"/>
    <col min="28" max="29" width="19.85546875" style="11" hidden="1" customWidth="1"/>
    <col min="30" max="30" width="1.7109375" style="11" hidden="1" customWidth="1"/>
    <col min="31" max="32" width="103.7109375" style="11" hidden="1" customWidth="1"/>
    <col min="33" max="33" width="103.7109375" style="11" customWidth="1"/>
    <col min="34"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271" t="s">
        <v>358</v>
      </c>
      <c r="I1" s="1271"/>
      <c r="J1" s="1271"/>
      <c r="K1" s="1271"/>
      <c r="L1" s="1271"/>
      <c r="M1" s="1271"/>
      <c r="N1" s="1271"/>
      <c r="O1" s="1271"/>
      <c r="P1" s="1271"/>
      <c r="Q1" s="1271"/>
      <c r="R1" s="1271"/>
      <c r="T1" s="1271" t="s">
        <v>359</v>
      </c>
      <c r="U1" s="1271"/>
      <c r="V1" s="1271"/>
      <c r="X1" s="1271" t="s">
        <v>360</v>
      </c>
      <c r="Y1" s="1271"/>
      <c r="Z1" s="1271"/>
      <c r="AB1" s="1271" t="s">
        <v>361</v>
      </c>
      <c r="AC1" s="1271"/>
      <c r="AT1" s="11" t="s">
        <v>14</v>
      </c>
    </row>
    <row r="2" spans="1:46" ht="14.25" hidden="1" customHeight="1">
      <c r="AT2" s="11">
        <v>0</v>
      </c>
    </row>
    <row r="3" spans="1:46" s="404" customFormat="1" ht="5.25" customHeight="1">
      <c r="C3" s="405"/>
      <c r="D3" s="406"/>
      <c r="E3" s="406"/>
      <c r="F3" s="406"/>
      <c r="G3" s="406"/>
      <c r="H3" s="406" t="s">
        <v>362</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15" t="str">
        <f>ORG_VD_NAME_FORM</f>
        <v>Форма 1. Информация об организации, осуществляющей холодное водоснабжение (общая информация)</v>
      </c>
      <c r="E4" s="1216"/>
      <c r="F4" s="1216"/>
      <c r="G4" s="1216"/>
      <c r="H4" s="1216"/>
      <c r="I4" s="1216"/>
      <c r="J4" s="1216"/>
      <c r="K4" s="1216"/>
      <c r="L4" s="1216"/>
      <c r="M4" s="1216"/>
      <c r="N4" s="1216"/>
      <c r="O4" s="1216"/>
      <c r="P4" s="1216"/>
      <c r="Q4" s="1216"/>
      <c r="R4" s="1217"/>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68" t="str">
        <f>IF(org=0,"Не определено",org)</f>
        <v>Сургутское городское муниципальное унитарное предприятие "Горводоканал"</v>
      </c>
      <c r="E5" s="1269"/>
      <c r="F5" s="1269"/>
      <c r="G5" s="1269"/>
      <c r="H5" s="1269"/>
      <c r="I5" s="1269"/>
      <c r="J5" s="1269"/>
      <c r="K5" s="1269"/>
      <c r="L5" s="1269"/>
      <c r="M5" s="1269"/>
      <c r="N5" s="1269"/>
      <c r="O5" s="1269"/>
      <c r="P5" s="1269"/>
      <c r="Q5" s="1269"/>
      <c r="R5" s="1270"/>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59" t="s">
        <v>306</v>
      </c>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3"/>
      <c r="AE7" s="1222" t="s">
        <v>307</v>
      </c>
      <c r="AF7" s="1222" t="s">
        <v>307</v>
      </c>
      <c r="AG7" s="1222" t="s">
        <v>307</v>
      </c>
      <c r="AH7" s="1222" t="s">
        <v>307</v>
      </c>
      <c r="AT7" s="11">
        <v>14</v>
      </c>
    </row>
    <row r="8" spans="1:46" ht="27.4" customHeight="1">
      <c r="C8" s="23"/>
      <c r="D8" s="1159" t="s">
        <v>88</v>
      </c>
      <c r="E8" s="1222" t="str">
        <f>"Наименование "&amp;IF(TEMPLATE_SPHERE&lt;&gt;"HEAT","централизованной ","")&amp;"системы "&amp;TEMPLATE_SPHERE_RUS</f>
        <v>Наименование централизованной системы холодного водоснабжения</v>
      </c>
      <c r="F8" s="1222" t="str">
        <f>IF(TEMPLATE_SPHERE&lt;&gt;"HEAT","Регулируемый вид деятельности","Вид регулируемой деятельности")</f>
        <v>Регулируемый вид деятельности</v>
      </c>
      <c r="G8" s="472"/>
      <c r="H8" s="1260" t="s">
        <v>363</v>
      </c>
      <c r="I8" s="1264" t="s">
        <v>364</v>
      </c>
      <c r="J8" s="1222" t="s">
        <v>365</v>
      </c>
      <c r="K8" s="1222"/>
      <c r="L8" s="1222"/>
      <c r="M8" s="1259"/>
      <c r="N8" s="1222" t="s">
        <v>366</v>
      </c>
      <c r="O8" s="1222"/>
      <c r="P8" s="1222" t="s">
        <v>367</v>
      </c>
      <c r="Q8" s="1222"/>
      <c r="R8" s="1262" t="s">
        <v>368</v>
      </c>
      <c r="S8" s="470"/>
      <c r="T8" s="1260" t="s">
        <v>369</v>
      </c>
      <c r="U8" s="1260" t="s">
        <v>370</v>
      </c>
      <c r="V8" s="1260" t="s">
        <v>371</v>
      </c>
      <c r="W8" s="472"/>
      <c r="X8" s="1260" t="s">
        <v>372</v>
      </c>
      <c r="Y8" s="1260" t="s">
        <v>373</v>
      </c>
      <c r="Z8" s="1260" t="s">
        <v>374</v>
      </c>
      <c r="AA8" s="472"/>
      <c r="AB8" s="1260" t="s">
        <v>375</v>
      </c>
      <c r="AC8" s="1260" t="s">
        <v>368</v>
      </c>
      <c r="AD8" s="472"/>
      <c r="AE8" s="1222"/>
      <c r="AF8" s="1222"/>
      <c r="AG8" s="1222"/>
      <c r="AH8" s="1222"/>
      <c r="AT8" s="11">
        <v>26</v>
      </c>
    </row>
    <row r="9" spans="1:46" ht="46.15" customHeight="1">
      <c r="C9" s="23"/>
      <c r="D9" s="1159"/>
      <c r="E9" s="1222"/>
      <c r="F9" s="1222"/>
      <c r="G9" s="473"/>
      <c r="H9" s="1261"/>
      <c r="I9" s="1265"/>
      <c r="J9" s="39" t="s">
        <v>376</v>
      </c>
      <c r="K9" s="39" t="s">
        <v>377</v>
      </c>
      <c r="L9" s="39" t="s">
        <v>378</v>
      </c>
      <c r="M9" s="239" t="s">
        <v>379</v>
      </c>
      <c r="N9" s="39" t="s">
        <v>380</v>
      </c>
      <c r="O9" s="39" t="s">
        <v>379</v>
      </c>
      <c r="P9" s="39" t="s">
        <v>381</v>
      </c>
      <c r="Q9" s="39" t="s">
        <v>379</v>
      </c>
      <c r="R9" s="1263"/>
      <c r="S9" s="471"/>
      <c r="T9" s="1261"/>
      <c r="U9" s="1261"/>
      <c r="V9" s="1261"/>
      <c r="W9" s="473"/>
      <c r="X9" s="1261"/>
      <c r="Y9" s="1261"/>
      <c r="Z9" s="1261"/>
      <c r="AA9" s="473"/>
      <c r="AB9" s="1261"/>
      <c r="AC9" s="1261"/>
      <c r="AD9" s="473"/>
      <c r="AE9" s="1222"/>
      <c r="AF9" s="1222"/>
      <c r="AG9" s="1222"/>
      <c r="AH9" s="1222"/>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382</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109</v>
      </c>
      <c r="E12" s="402" t="s">
        <v>22</v>
      </c>
      <c r="F12" s="492"/>
      <c r="G12" s="493"/>
      <c r="H12" s="366"/>
      <c r="I12" s="366"/>
      <c r="J12" s="241"/>
      <c r="K12" s="1004"/>
      <c r="L12" s="240"/>
      <c r="M12" s="1004"/>
      <c r="N12" s="241"/>
      <c r="O12" s="1004"/>
      <c r="P12" s="241"/>
      <c r="Q12" s="1004"/>
      <c r="R12" s="241"/>
      <c r="S12" s="491"/>
      <c r="T12" s="366"/>
      <c r="U12" s="241"/>
      <c r="V12" s="241"/>
      <c r="W12" s="473"/>
      <c r="X12" s="366"/>
      <c r="Y12" s="241"/>
      <c r="Z12" s="241"/>
      <c r="AA12" s="473"/>
      <c r="AB12" s="366"/>
      <c r="AC12" s="241"/>
      <c r="AD12" s="473"/>
      <c r="AE12" s="1266" t="s">
        <v>383</v>
      </c>
      <c r="AF12" s="1266" t="s">
        <v>384</v>
      </c>
      <c r="AG12" s="1266" t="s">
        <v>385</v>
      </c>
      <c r="AH12" s="1266" t="s">
        <v>386</v>
      </c>
      <c r="AI12" s="11"/>
      <c r="AP12" s="69" t="s">
        <v>387</v>
      </c>
      <c r="AQ12" s="69" t="s">
        <v>387</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67"/>
      <c r="AF13" s="1267"/>
      <c r="AG13" s="1267"/>
      <c r="AH13" s="1267"/>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94"/>
  </cols>
  <sheetData>
    <row r="1" spans="1:2" ht="11.25" customHeight="1">
      <c r="A1" s="94" t="s">
        <v>138</v>
      </c>
      <c r="B1" s="94" t="s">
        <v>3657</v>
      </c>
    </row>
    <row r="2" spans="1:2" ht="11.25" customHeight="1">
      <c r="A2" s="2" t="s">
        <v>98</v>
      </c>
      <c r="B2" s="2" t="s">
        <v>3658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3659</v>
      </c>
      <c r="B1" s="32" t="s">
        <v>3660</v>
      </c>
    </row>
    <row r="2" spans="1:2" ht="11.25" customHeight="1">
      <c r="A2" s="32">
        <v>4213775</v>
      </c>
      <c r="B2" s="32" t="s">
        <v>1396</v>
      </c>
    </row>
    <row r="3" spans="1:2" ht="11.25" customHeight="1">
      <c r="A3" s="32">
        <v>4213784</v>
      </c>
      <c r="B3" s="32" t="s">
        <v>1431</v>
      </c>
    </row>
    <row r="4" spans="1:2" ht="11.25" customHeight="1">
      <c r="A4" s="32">
        <v>4213781</v>
      </c>
      <c r="B4" s="32" t="s">
        <v>1424</v>
      </c>
    </row>
    <row r="5" spans="1:2" ht="11.25" customHeight="1">
      <c r="A5" s="32">
        <v>4213776</v>
      </c>
      <c r="B5" s="32" t="s">
        <v>174</v>
      </c>
    </row>
    <row r="6" spans="1:2" ht="11.25" customHeight="1">
      <c r="A6" s="32">
        <v>4213777</v>
      </c>
      <c r="B6" s="32" t="s">
        <v>180</v>
      </c>
    </row>
    <row r="7" spans="1:2" ht="11.25" customHeight="1">
      <c r="A7" s="32">
        <v>4213778</v>
      </c>
      <c r="B7" s="32" t="s">
        <v>186</v>
      </c>
    </row>
    <row r="8" spans="1:2" ht="11.25" customHeight="1">
      <c r="A8" s="32">
        <v>4213780</v>
      </c>
      <c r="B8" s="32" t="s">
        <v>192</v>
      </c>
    </row>
    <row r="9" spans="1:2" ht="11.25" customHeight="1">
      <c r="A9" s="32">
        <v>4213779</v>
      </c>
      <c r="B9" s="32" t="s">
        <v>1562</v>
      </c>
    </row>
    <row r="10" spans="1:2" ht="11.25" customHeight="1">
      <c r="A10" s="32">
        <v>4213783</v>
      </c>
      <c r="B10" s="32" t="s">
        <v>1577</v>
      </c>
    </row>
    <row r="11" spans="1:2" ht="11.25" customHeight="1">
      <c r="A11" s="32">
        <v>4213782</v>
      </c>
      <c r="B11" s="32"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40625" defaultRowHeight="11.25" customHeight="1"/>
  <cols>
    <col min="1" max="1" width="9.140625" style="32"/>
  </cols>
  <sheetData>
    <row r="1" spans="1:2" ht="11.25" customHeight="1">
      <c r="A1" s="32" t="s">
        <v>3659</v>
      </c>
      <c r="B1" s="2" t="s">
        <v>3661</v>
      </c>
    </row>
    <row r="2" spans="1:2" ht="11.25" customHeight="1">
      <c r="A2" s="32" t="s">
        <v>118</v>
      </c>
      <c r="B2" t="s">
        <v>1667</v>
      </c>
    </row>
    <row r="3" spans="1:2" ht="11.25" customHeight="1">
      <c r="A3" s="32" t="s">
        <v>3662</v>
      </c>
      <c r="B3" t="s">
        <v>1676</v>
      </c>
    </row>
    <row r="4" spans="1:2" ht="11.25" customHeight="1">
      <c r="A4" s="32" t="s">
        <v>128</v>
      </c>
      <c r="B4" t="s">
        <v>1684</v>
      </c>
    </row>
    <row r="5" spans="1:2" ht="11.25" customHeight="1">
      <c r="A5" s="32" t="s">
        <v>124</v>
      </c>
      <c r="B5" t="s">
        <v>1693</v>
      </c>
    </row>
    <row r="6" spans="1:2" ht="11.25" customHeight="1">
      <c r="A6" s="32" t="s">
        <v>3663</v>
      </c>
      <c r="B6" t="s">
        <v>1698</v>
      </c>
    </row>
    <row r="7" spans="1:2" ht="11.25" customHeight="1">
      <c r="A7" s="32" t="s">
        <v>3664</v>
      </c>
      <c r="B7" t="s">
        <v>1704</v>
      </c>
    </row>
    <row r="8" spans="1:2" ht="11.25" customHeight="1">
      <c r="A8" s="32" t="s">
        <v>126</v>
      </c>
      <c r="B8" t="s">
        <v>1709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106"/>
  <sheetViews>
    <sheetView showGridLines="0" workbookViewId="0"/>
  </sheetViews>
  <sheetFormatPr defaultRowHeight="11.25" customHeight="1"/>
  <sheetData>
    <row r="1" spans="1:7" ht="11.25" customHeight="1">
      <c r="A1" t="s">
        <v>3251</v>
      </c>
      <c r="B1" t="s">
        <v>3252</v>
      </c>
      <c r="C1" t="s">
        <v>3253</v>
      </c>
      <c r="D1" t="s">
        <v>3254</v>
      </c>
      <c r="E1" t="s">
        <v>3255</v>
      </c>
      <c r="F1" t="s">
        <v>3256</v>
      </c>
      <c r="G1" t="s">
        <v>3257</v>
      </c>
    </row>
    <row r="2" spans="1:7" ht="11.25" customHeight="1">
      <c r="A2" t="s">
        <v>16</v>
      </c>
      <c r="B2" t="s">
        <v>3258</v>
      </c>
      <c r="C2" t="s">
        <v>3259</v>
      </c>
      <c r="D2" t="s">
        <v>3260</v>
      </c>
      <c r="E2" t="s">
        <v>3261</v>
      </c>
      <c r="F2" t="s">
        <v>3262</v>
      </c>
      <c r="G2" t="s">
        <v>109</v>
      </c>
    </row>
    <row r="3" spans="1:7" ht="11.25" customHeight="1">
      <c r="A3" t="s">
        <v>16</v>
      </c>
      <c r="B3" t="s">
        <v>3258</v>
      </c>
      <c r="C3" t="s">
        <v>3259</v>
      </c>
      <c r="D3" t="s">
        <v>3258</v>
      </c>
      <c r="E3" t="s">
        <v>3259</v>
      </c>
      <c r="F3" t="s">
        <v>3263</v>
      </c>
      <c r="G3" t="s">
        <v>110</v>
      </c>
    </row>
    <row r="4" spans="1:7" ht="11.25" customHeight="1">
      <c r="A4" t="s">
        <v>16</v>
      </c>
      <c r="B4" t="s">
        <v>3258</v>
      </c>
      <c r="C4" t="s">
        <v>3259</v>
      </c>
      <c r="D4" t="s">
        <v>3264</v>
      </c>
      <c r="E4" t="s">
        <v>3265</v>
      </c>
      <c r="F4" t="s">
        <v>3266</v>
      </c>
      <c r="G4" t="s">
        <v>90</v>
      </c>
    </row>
    <row r="5" spans="1:7" ht="11.25" customHeight="1">
      <c r="A5" t="s">
        <v>16</v>
      </c>
      <c r="B5" t="s">
        <v>3258</v>
      </c>
      <c r="C5" t="s">
        <v>3259</v>
      </c>
      <c r="D5" t="s">
        <v>3267</v>
      </c>
      <c r="E5" t="s">
        <v>3268</v>
      </c>
      <c r="F5" t="s">
        <v>3266</v>
      </c>
      <c r="G5" t="s">
        <v>91</v>
      </c>
    </row>
    <row r="6" spans="1:7" ht="11.25" customHeight="1">
      <c r="A6" t="s">
        <v>16</v>
      </c>
      <c r="B6" t="s">
        <v>3258</v>
      </c>
      <c r="C6" t="s">
        <v>3259</v>
      </c>
      <c r="D6" t="s">
        <v>3269</v>
      </c>
      <c r="E6" t="s">
        <v>3270</v>
      </c>
      <c r="F6" t="s">
        <v>3266</v>
      </c>
      <c r="G6" t="s">
        <v>111</v>
      </c>
    </row>
    <row r="7" spans="1:7" ht="11.25" customHeight="1">
      <c r="A7" t="s">
        <v>16</v>
      </c>
      <c r="B7" t="s">
        <v>3258</v>
      </c>
      <c r="C7" t="s">
        <v>3259</v>
      </c>
      <c r="D7" t="s">
        <v>3271</v>
      </c>
      <c r="E7" t="s">
        <v>3272</v>
      </c>
      <c r="F7" t="s">
        <v>3266</v>
      </c>
      <c r="G7" t="s">
        <v>92</v>
      </c>
    </row>
    <row r="8" spans="1:7" ht="11.25" customHeight="1">
      <c r="A8" t="s">
        <v>16</v>
      </c>
      <c r="B8" t="s">
        <v>3258</v>
      </c>
      <c r="C8" t="s">
        <v>3259</v>
      </c>
      <c r="D8" t="s">
        <v>3273</v>
      </c>
      <c r="E8" t="s">
        <v>3274</v>
      </c>
      <c r="F8" t="s">
        <v>3266</v>
      </c>
      <c r="G8" t="s">
        <v>93</v>
      </c>
    </row>
    <row r="9" spans="1:7" ht="11.25" customHeight="1">
      <c r="A9" t="s">
        <v>16</v>
      </c>
      <c r="B9" t="s">
        <v>3258</v>
      </c>
      <c r="C9" t="s">
        <v>3259</v>
      </c>
      <c r="D9" t="s">
        <v>3275</v>
      </c>
      <c r="E9" t="s">
        <v>3276</v>
      </c>
      <c r="F9" t="s">
        <v>3266</v>
      </c>
      <c r="G9" t="s">
        <v>112</v>
      </c>
    </row>
    <row r="10" spans="1:7" ht="11.25" customHeight="1">
      <c r="A10" t="s">
        <v>16</v>
      </c>
      <c r="B10" t="s">
        <v>3277</v>
      </c>
      <c r="C10" t="s">
        <v>3278</v>
      </c>
      <c r="D10" t="s">
        <v>3277</v>
      </c>
      <c r="E10" t="s">
        <v>3278</v>
      </c>
      <c r="F10" t="s">
        <v>3263</v>
      </c>
      <c r="G10" t="s">
        <v>156</v>
      </c>
    </row>
    <row r="11" spans="1:7" ht="11.25" customHeight="1">
      <c r="A11" t="s">
        <v>16</v>
      </c>
      <c r="B11" t="s">
        <v>3277</v>
      </c>
      <c r="C11" t="s">
        <v>3278</v>
      </c>
      <c r="D11" t="s">
        <v>3279</v>
      </c>
      <c r="E11" t="s">
        <v>3280</v>
      </c>
      <c r="F11" t="s">
        <v>3262</v>
      </c>
      <c r="G11" t="s">
        <v>157</v>
      </c>
    </row>
    <row r="12" spans="1:7" ht="11.25" customHeight="1">
      <c r="A12" t="s">
        <v>16</v>
      </c>
      <c r="B12" t="s">
        <v>3277</v>
      </c>
      <c r="C12" t="s">
        <v>3278</v>
      </c>
      <c r="D12" t="s">
        <v>3281</v>
      </c>
      <c r="E12" t="s">
        <v>3282</v>
      </c>
      <c r="F12" t="s">
        <v>3262</v>
      </c>
      <c r="G12" t="s">
        <v>158</v>
      </c>
    </row>
    <row r="13" spans="1:7" ht="11.25" customHeight="1">
      <c r="A13" t="s">
        <v>16</v>
      </c>
      <c r="B13" t="s">
        <v>3277</v>
      </c>
      <c r="C13" t="s">
        <v>3278</v>
      </c>
      <c r="D13" t="s">
        <v>3283</v>
      </c>
      <c r="E13" t="s">
        <v>3284</v>
      </c>
      <c r="F13" t="s">
        <v>3266</v>
      </c>
      <c r="G13" t="s">
        <v>159</v>
      </c>
    </row>
    <row r="14" spans="1:7" ht="11.25" customHeight="1">
      <c r="A14" t="s">
        <v>16</v>
      </c>
      <c r="B14" t="s">
        <v>3277</v>
      </c>
      <c r="C14" t="s">
        <v>3278</v>
      </c>
      <c r="D14" t="s">
        <v>3285</v>
      </c>
      <c r="E14" t="s">
        <v>3286</v>
      </c>
      <c r="F14" t="s">
        <v>3266</v>
      </c>
      <c r="G14" t="s">
        <v>160</v>
      </c>
    </row>
    <row r="15" spans="1:7" ht="11.25" customHeight="1">
      <c r="A15" t="s">
        <v>16</v>
      </c>
      <c r="B15" t="s">
        <v>3277</v>
      </c>
      <c r="C15" t="s">
        <v>3278</v>
      </c>
      <c r="D15" t="s">
        <v>3287</v>
      </c>
      <c r="E15" t="s">
        <v>3288</v>
      </c>
      <c r="F15" t="s">
        <v>3266</v>
      </c>
      <c r="G15" t="s">
        <v>161</v>
      </c>
    </row>
    <row r="16" spans="1:7" ht="11.25" customHeight="1">
      <c r="A16" t="s">
        <v>16</v>
      </c>
      <c r="B16" t="s">
        <v>3277</v>
      </c>
      <c r="C16" t="s">
        <v>3278</v>
      </c>
      <c r="D16" t="s">
        <v>3289</v>
      </c>
      <c r="E16" t="s">
        <v>3290</v>
      </c>
      <c r="F16" t="s">
        <v>3266</v>
      </c>
      <c r="G16" t="s">
        <v>1109</v>
      </c>
    </row>
    <row r="17" spans="1:7" ht="11.25" customHeight="1">
      <c r="A17" t="s">
        <v>16</v>
      </c>
      <c r="B17" t="s">
        <v>3291</v>
      </c>
      <c r="C17" t="s">
        <v>3292</v>
      </c>
      <c r="D17" t="s">
        <v>3291</v>
      </c>
      <c r="E17" t="s">
        <v>3292</v>
      </c>
      <c r="F17" t="s">
        <v>3293</v>
      </c>
      <c r="G17" t="s">
        <v>1111</v>
      </c>
    </row>
    <row r="18" spans="1:7" ht="11.25" customHeight="1">
      <c r="A18" t="s">
        <v>16</v>
      </c>
      <c r="B18" t="s">
        <v>3294</v>
      </c>
      <c r="C18" t="s">
        <v>3295</v>
      </c>
      <c r="D18" t="s">
        <v>3296</v>
      </c>
      <c r="E18" t="s">
        <v>3297</v>
      </c>
      <c r="F18" t="s">
        <v>3266</v>
      </c>
      <c r="G18" t="s">
        <v>1113</v>
      </c>
    </row>
    <row r="19" spans="1:7" ht="11.25" customHeight="1">
      <c r="A19" t="s">
        <v>16</v>
      </c>
      <c r="B19" t="s">
        <v>3294</v>
      </c>
      <c r="C19" t="s">
        <v>3295</v>
      </c>
      <c r="D19" t="s">
        <v>3294</v>
      </c>
      <c r="E19" t="s">
        <v>3295</v>
      </c>
      <c r="F19" t="s">
        <v>3263</v>
      </c>
      <c r="G19" t="s">
        <v>1116</v>
      </c>
    </row>
    <row r="20" spans="1:7" ht="11.25" customHeight="1">
      <c r="A20" t="s">
        <v>16</v>
      </c>
      <c r="B20" t="s">
        <v>3294</v>
      </c>
      <c r="C20" t="s">
        <v>3295</v>
      </c>
      <c r="D20" t="s">
        <v>3298</v>
      </c>
      <c r="E20" t="s">
        <v>3299</v>
      </c>
      <c r="F20" t="s">
        <v>3262</v>
      </c>
      <c r="G20" t="s">
        <v>1118</v>
      </c>
    </row>
    <row r="21" spans="1:7" ht="11.25" customHeight="1">
      <c r="A21" t="s">
        <v>16</v>
      </c>
      <c r="B21" t="s">
        <v>3294</v>
      </c>
      <c r="C21" t="s">
        <v>3295</v>
      </c>
      <c r="D21" t="s">
        <v>3300</v>
      </c>
      <c r="E21" t="s">
        <v>3301</v>
      </c>
      <c r="F21" t="s">
        <v>3262</v>
      </c>
      <c r="G21" t="s">
        <v>1087</v>
      </c>
    </row>
    <row r="22" spans="1:7" ht="11.25" customHeight="1">
      <c r="A22" t="s">
        <v>16</v>
      </c>
      <c r="B22" t="s">
        <v>3294</v>
      </c>
      <c r="C22" t="s">
        <v>3295</v>
      </c>
      <c r="D22" t="s">
        <v>3302</v>
      </c>
      <c r="E22" t="s">
        <v>3303</v>
      </c>
      <c r="F22" t="s">
        <v>3266</v>
      </c>
      <c r="G22" t="s">
        <v>1123</v>
      </c>
    </row>
    <row r="23" spans="1:7" ht="11.25" customHeight="1">
      <c r="A23" t="s">
        <v>16</v>
      </c>
      <c r="B23" t="s">
        <v>3294</v>
      </c>
      <c r="C23" t="s">
        <v>3295</v>
      </c>
      <c r="D23" t="s">
        <v>3304</v>
      </c>
      <c r="E23" t="s">
        <v>3305</v>
      </c>
      <c r="F23" t="s">
        <v>3262</v>
      </c>
      <c r="G23" t="s">
        <v>1125</v>
      </c>
    </row>
    <row r="24" spans="1:7" ht="11.25" customHeight="1">
      <c r="A24" t="s">
        <v>16</v>
      </c>
      <c r="B24" t="s">
        <v>3294</v>
      </c>
      <c r="C24" t="s">
        <v>3295</v>
      </c>
      <c r="D24" t="s">
        <v>3306</v>
      </c>
      <c r="E24" t="s">
        <v>3307</v>
      </c>
      <c r="F24" t="s">
        <v>3262</v>
      </c>
      <c r="G24" t="s">
        <v>1127</v>
      </c>
    </row>
    <row r="25" spans="1:7" ht="11.25" customHeight="1">
      <c r="A25" t="s">
        <v>16</v>
      </c>
      <c r="B25" t="s">
        <v>3294</v>
      </c>
      <c r="C25" t="s">
        <v>3295</v>
      </c>
      <c r="D25" t="s">
        <v>3308</v>
      </c>
      <c r="E25" t="s">
        <v>3309</v>
      </c>
      <c r="F25" t="s">
        <v>3262</v>
      </c>
      <c r="G25" t="s">
        <v>1130</v>
      </c>
    </row>
    <row r="26" spans="1:7" ht="11.25" customHeight="1">
      <c r="A26" t="s">
        <v>16</v>
      </c>
      <c r="B26" t="s">
        <v>3294</v>
      </c>
      <c r="C26" t="s">
        <v>3295</v>
      </c>
      <c r="D26" t="s">
        <v>3310</v>
      </c>
      <c r="E26" t="s">
        <v>3311</v>
      </c>
      <c r="F26" t="s">
        <v>3266</v>
      </c>
      <c r="G26" t="s">
        <v>1132</v>
      </c>
    </row>
    <row r="27" spans="1:7" ht="11.25" customHeight="1">
      <c r="A27" t="s">
        <v>16</v>
      </c>
      <c r="B27" t="s">
        <v>3294</v>
      </c>
      <c r="C27" t="s">
        <v>3295</v>
      </c>
      <c r="D27" t="s">
        <v>3312</v>
      </c>
      <c r="E27" t="s">
        <v>3313</v>
      </c>
      <c r="F27" t="s">
        <v>3266</v>
      </c>
      <c r="G27" t="s">
        <v>1134</v>
      </c>
    </row>
    <row r="28" spans="1:7" ht="11.25" customHeight="1">
      <c r="A28" t="s">
        <v>16</v>
      </c>
      <c r="B28" t="s">
        <v>3294</v>
      </c>
      <c r="C28" t="s">
        <v>3295</v>
      </c>
      <c r="D28" t="s">
        <v>3314</v>
      </c>
      <c r="E28" t="s">
        <v>3315</v>
      </c>
      <c r="F28" t="s">
        <v>3266</v>
      </c>
      <c r="G28" t="s">
        <v>1138</v>
      </c>
    </row>
    <row r="29" spans="1:7" ht="11.25" customHeight="1">
      <c r="A29" t="s">
        <v>16</v>
      </c>
      <c r="B29" t="s">
        <v>3316</v>
      </c>
      <c r="C29" t="s">
        <v>3317</v>
      </c>
      <c r="D29" t="s">
        <v>3316</v>
      </c>
      <c r="E29" t="s">
        <v>3317</v>
      </c>
      <c r="F29" t="s">
        <v>3293</v>
      </c>
      <c r="G29" t="s">
        <v>1140</v>
      </c>
    </row>
    <row r="30" spans="1:7" ht="11.25" customHeight="1">
      <c r="A30" t="s">
        <v>16</v>
      </c>
      <c r="B30" t="s">
        <v>3318</v>
      </c>
      <c r="C30" t="s">
        <v>3319</v>
      </c>
      <c r="D30" t="s">
        <v>3318</v>
      </c>
      <c r="E30" t="s">
        <v>3319</v>
      </c>
      <c r="F30" t="s">
        <v>3293</v>
      </c>
      <c r="G30" t="s">
        <v>1143</v>
      </c>
    </row>
    <row r="31" spans="1:7" ht="11.25" customHeight="1">
      <c r="A31" t="s">
        <v>16</v>
      </c>
      <c r="B31" t="s">
        <v>3320</v>
      </c>
      <c r="C31" t="s">
        <v>3321</v>
      </c>
      <c r="D31" t="s">
        <v>3320</v>
      </c>
      <c r="E31" t="s">
        <v>3321</v>
      </c>
      <c r="F31" t="s">
        <v>3293</v>
      </c>
      <c r="G31" t="s">
        <v>1147</v>
      </c>
    </row>
    <row r="32" spans="1:7" ht="11.25" customHeight="1">
      <c r="A32" t="s">
        <v>16</v>
      </c>
      <c r="B32" t="s">
        <v>3322</v>
      </c>
      <c r="C32" t="s">
        <v>3323</v>
      </c>
      <c r="D32" t="s">
        <v>3324</v>
      </c>
      <c r="E32" t="s">
        <v>3325</v>
      </c>
      <c r="F32" t="s">
        <v>3266</v>
      </c>
      <c r="G32" t="s">
        <v>1097</v>
      </c>
    </row>
    <row r="33" spans="1:7" ht="11.25" customHeight="1">
      <c r="A33" t="s">
        <v>16</v>
      </c>
      <c r="B33" t="s">
        <v>3322</v>
      </c>
      <c r="C33" t="s">
        <v>3323</v>
      </c>
      <c r="D33" t="s">
        <v>3326</v>
      </c>
      <c r="E33" t="s">
        <v>3327</v>
      </c>
      <c r="F33" t="s">
        <v>3266</v>
      </c>
      <c r="G33" t="s">
        <v>1152</v>
      </c>
    </row>
    <row r="34" spans="1:7" ht="11.25" customHeight="1">
      <c r="A34" t="s">
        <v>16</v>
      </c>
      <c r="B34" t="s">
        <v>3322</v>
      </c>
      <c r="C34" t="s">
        <v>3323</v>
      </c>
      <c r="D34" t="s">
        <v>3328</v>
      </c>
      <c r="E34" t="s">
        <v>3329</v>
      </c>
      <c r="F34" t="s">
        <v>3266</v>
      </c>
      <c r="G34" t="s">
        <v>1155</v>
      </c>
    </row>
    <row r="35" spans="1:7" ht="11.25" customHeight="1">
      <c r="A35" t="s">
        <v>16</v>
      </c>
      <c r="B35" t="s">
        <v>3322</v>
      </c>
      <c r="C35" t="s">
        <v>3323</v>
      </c>
      <c r="D35" t="s">
        <v>3322</v>
      </c>
      <c r="E35" t="s">
        <v>3323</v>
      </c>
      <c r="F35" t="s">
        <v>3263</v>
      </c>
      <c r="G35" t="s">
        <v>1157</v>
      </c>
    </row>
    <row r="36" spans="1:7" ht="11.25" customHeight="1">
      <c r="A36" t="s">
        <v>16</v>
      </c>
      <c r="B36" t="s">
        <v>3322</v>
      </c>
      <c r="C36" t="s">
        <v>3323</v>
      </c>
      <c r="D36" t="s">
        <v>3330</v>
      </c>
      <c r="E36" t="s">
        <v>3331</v>
      </c>
      <c r="F36" t="s">
        <v>3262</v>
      </c>
      <c r="G36" t="s">
        <v>1160</v>
      </c>
    </row>
    <row r="37" spans="1:7" ht="11.25" customHeight="1">
      <c r="A37" t="s">
        <v>16</v>
      </c>
      <c r="B37" t="s">
        <v>3322</v>
      </c>
      <c r="C37" t="s">
        <v>3323</v>
      </c>
      <c r="D37" t="s">
        <v>3332</v>
      </c>
      <c r="E37" t="s">
        <v>3333</v>
      </c>
      <c r="F37" t="s">
        <v>3266</v>
      </c>
      <c r="G37" t="s">
        <v>1162</v>
      </c>
    </row>
    <row r="38" spans="1:7" ht="11.25" customHeight="1">
      <c r="A38" t="s">
        <v>16</v>
      </c>
      <c r="B38" t="s">
        <v>3322</v>
      </c>
      <c r="C38" t="s">
        <v>3323</v>
      </c>
      <c r="D38" t="s">
        <v>3334</v>
      </c>
      <c r="E38" t="s">
        <v>3335</v>
      </c>
      <c r="F38" t="s">
        <v>3266</v>
      </c>
      <c r="G38" t="s">
        <v>1164</v>
      </c>
    </row>
    <row r="39" spans="1:7" ht="11.25" customHeight="1">
      <c r="A39" t="s">
        <v>16</v>
      </c>
      <c r="B39" t="s">
        <v>3322</v>
      </c>
      <c r="C39" t="s">
        <v>3323</v>
      </c>
      <c r="D39" t="s">
        <v>3336</v>
      </c>
      <c r="E39" t="s">
        <v>3337</v>
      </c>
      <c r="F39" t="s">
        <v>3266</v>
      </c>
      <c r="G39" t="s">
        <v>1760</v>
      </c>
    </row>
    <row r="40" spans="1:7" ht="11.25" customHeight="1">
      <c r="A40" t="s">
        <v>16</v>
      </c>
      <c r="B40" t="s">
        <v>3322</v>
      </c>
      <c r="C40" t="s">
        <v>3323</v>
      </c>
      <c r="D40" t="s">
        <v>3338</v>
      </c>
      <c r="E40" t="s">
        <v>3339</v>
      </c>
      <c r="F40" t="s">
        <v>3266</v>
      </c>
      <c r="G40" t="s">
        <v>1765</v>
      </c>
    </row>
    <row r="41" spans="1:7" ht="11.25" customHeight="1">
      <c r="A41" t="s">
        <v>16</v>
      </c>
      <c r="B41" t="s">
        <v>3340</v>
      </c>
      <c r="C41" t="s">
        <v>3341</v>
      </c>
      <c r="D41" t="s">
        <v>3340</v>
      </c>
      <c r="E41" t="s">
        <v>3341</v>
      </c>
      <c r="F41" t="s">
        <v>3293</v>
      </c>
      <c r="G41" t="s">
        <v>1769</v>
      </c>
    </row>
    <row r="42" spans="1:7" ht="11.25" customHeight="1">
      <c r="A42" t="s">
        <v>16</v>
      </c>
      <c r="B42" t="s">
        <v>3342</v>
      </c>
      <c r="C42" t="s">
        <v>3343</v>
      </c>
      <c r="D42" t="s">
        <v>3344</v>
      </c>
      <c r="E42" t="s">
        <v>3345</v>
      </c>
      <c r="F42" t="s">
        <v>3266</v>
      </c>
      <c r="G42" t="s">
        <v>1772</v>
      </c>
    </row>
    <row r="43" spans="1:7" ht="11.25" customHeight="1">
      <c r="A43" t="s">
        <v>16</v>
      </c>
      <c r="B43" t="s">
        <v>3342</v>
      </c>
      <c r="C43" t="s">
        <v>3343</v>
      </c>
      <c r="D43" t="s">
        <v>3346</v>
      </c>
      <c r="E43" t="s">
        <v>3347</v>
      </c>
      <c r="F43" t="s">
        <v>3266</v>
      </c>
      <c r="G43" t="s">
        <v>1779</v>
      </c>
    </row>
    <row r="44" spans="1:7" ht="11.25" customHeight="1">
      <c r="A44" t="s">
        <v>16</v>
      </c>
      <c r="B44" t="s">
        <v>3342</v>
      </c>
      <c r="C44" t="s">
        <v>3343</v>
      </c>
      <c r="D44" t="s">
        <v>3348</v>
      </c>
      <c r="E44" t="s">
        <v>3349</v>
      </c>
      <c r="F44" t="s">
        <v>3266</v>
      </c>
      <c r="G44" t="s">
        <v>1788</v>
      </c>
    </row>
    <row r="45" spans="1:7" ht="11.25" customHeight="1">
      <c r="A45" t="s">
        <v>16</v>
      </c>
      <c r="B45" t="s">
        <v>3342</v>
      </c>
      <c r="C45" t="s">
        <v>3343</v>
      </c>
      <c r="D45" t="s">
        <v>3350</v>
      </c>
      <c r="E45" t="s">
        <v>3351</v>
      </c>
      <c r="F45" t="s">
        <v>3266</v>
      </c>
      <c r="G45" t="s">
        <v>1793</v>
      </c>
    </row>
    <row r="46" spans="1:7" ht="11.25" customHeight="1">
      <c r="A46" t="s">
        <v>16</v>
      </c>
      <c r="B46" t="s">
        <v>3342</v>
      </c>
      <c r="C46" t="s">
        <v>3343</v>
      </c>
      <c r="D46" t="s">
        <v>3352</v>
      </c>
      <c r="E46" t="s">
        <v>3353</v>
      </c>
      <c r="F46" t="s">
        <v>3262</v>
      </c>
      <c r="G46" t="s">
        <v>1797</v>
      </c>
    </row>
    <row r="47" spans="1:7" ht="11.25" customHeight="1">
      <c r="A47" t="s">
        <v>16</v>
      </c>
      <c r="B47" t="s">
        <v>3342</v>
      </c>
      <c r="C47" t="s">
        <v>3343</v>
      </c>
      <c r="D47" t="s">
        <v>3354</v>
      </c>
      <c r="E47" t="s">
        <v>3355</v>
      </c>
      <c r="F47" t="s">
        <v>3266</v>
      </c>
      <c r="G47" t="s">
        <v>1802</v>
      </c>
    </row>
    <row r="48" spans="1:7" ht="11.25" customHeight="1">
      <c r="A48" t="s">
        <v>16</v>
      </c>
      <c r="B48" t="s">
        <v>3342</v>
      </c>
      <c r="C48" t="s">
        <v>3343</v>
      </c>
      <c r="D48" t="s">
        <v>3342</v>
      </c>
      <c r="E48" t="s">
        <v>3343</v>
      </c>
      <c r="F48" t="s">
        <v>3263</v>
      </c>
      <c r="G48" t="s">
        <v>1807</v>
      </c>
    </row>
    <row r="49" spans="1:7" ht="11.25" customHeight="1">
      <c r="A49" t="s">
        <v>16</v>
      </c>
      <c r="B49" t="s">
        <v>3342</v>
      </c>
      <c r="C49" t="s">
        <v>3343</v>
      </c>
      <c r="D49" t="s">
        <v>3356</v>
      </c>
      <c r="E49" t="s">
        <v>3357</v>
      </c>
      <c r="F49" t="s">
        <v>3262</v>
      </c>
      <c r="G49" t="s">
        <v>1810</v>
      </c>
    </row>
    <row r="50" spans="1:7" ht="11.25" customHeight="1">
      <c r="A50" t="s">
        <v>16</v>
      </c>
      <c r="B50" t="s">
        <v>3342</v>
      </c>
      <c r="C50" t="s">
        <v>3343</v>
      </c>
      <c r="D50" t="s">
        <v>3358</v>
      </c>
      <c r="E50" t="s">
        <v>3359</v>
      </c>
      <c r="F50" t="s">
        <v>3266</v>
      </c>
      <c r="G50" t="s">
        <v>1814</v>
      </c>
    </row>
    <row r="51" spans="1:7" ht="11.25" customHeight="1">
      <c r="A51" t="s">
        <v>16</v>
      </c>
      <c r="B51" t="s">
        <v>3360</v>
      </c>
      <c r="C51" t="s">
        <v>3361</v>
      </c>
      <c r="D51" t="s">
        <v>3360</v>
      </c>
      <c r="E51" t="s">
        <v>3361</v>
      </c>
      <c r="F51" t="s">
        <v>3293</v>
      </c>
      <c r="G51" t="s">
        <v>1819</v>
      </c>
    </row>
    <row r="52" spans="1:7" ht="11.25" customHeight="1">
      <c r="A52" t="s">
        <v>16</v>
      </c>
      <c r="B52" t="s">
        <v>3362</v>
      </c>
      <c r="C52" t="s">
        <v>3363</v>
      </c>
      <c r="D52" t="s">
        <v>3364</v>
      </c>
      <c r="E52" t="s">
        <v>3365</v>
      </c>
      <c r="F52" t="s">
        <v>3262</v>
      </c>
      <c r="G52" t="s">
        <v>1823</v>
      </c>
    </row>
    <row r="53" spans="1:7" ht="11.25" customHeight="1">
      <c r="A53" t="s">
        <v>16</v>
      </c>
      <c r="B53" t="s">
        <v>3362</v>
      </c>
      <c r="C53" t="s">
        <v>3363</v>
      </c>
      <c r="D53" t="s">
        <v>3366</v>
      </c>
      <c r="E53" t="s">
        <v>3367</v>
      </c>
      <c r="F53" t="s">
        <v>3266</v>
      </c>
      <c r="G53" t="s">
        <v>1825</v>
      </c>
    </row>
    <row r="54" spans="1:7" ht="11.25" customHeight="1">
      <c r="A54" t="s">
        <v>16</v>
      </c>
      <c r="B54" t="s">
        <v>3362</v>
      </c>
      <c r="C54" t="s">
        <v>3363</v>
      </c>
      <c r="D54" t="s">
        <v>3368</v>
      </c>
      <c r="E54" t="s">
        <v>3369</v>
      </c>
      <c r="F54" t="s">
        <v>3266</v>
      </c>
      <c r="G54" t="s">
        <v>1828</v>
      </c>
    </row>
    <row r="55" spans="1:7" ht="11.25" customHeight="1">
      <c r="A55" t="s">
        <v>16</v>
      </c>
      <c r="B55" t="s">
        <v>3362</v>
      </c>
      <c r="C55" t="s">
        <v>3363</v>
      </c>
      <c r="D55" t="s">
        <v>3370</v>
      </c>
      <c r="E55" t="s">
        <v>3371</v>
      </c>
      <c r="F55" t="s">
        <v>3266</v>
      </c>
      <c r="G55" t="s">
        <v>1832</v>
      </c>
    </row>
    <row r="56" spans="1:7" ht="11.25" customHeight="1">
      <c r="A56" t="s">
        <v>16</v>
      </c>
      <c r="B56" t="s">
        <v>3362</v>
      </c>
      <c r="C56" t="s">
        <v>3363</v>
      </c>
      <c r="D56" t="s">
        <v>3362</v>
      </c>
      <c r="E56" t="s">
        <v>3363</v>
      </c>
      <c r="F56" t="s">
        <v>3263</v>
      </c>
      <c r="G56" t="s">
        <v>1836</v>
      </c>
    </row>
    <row r="57" spans="1:7" ht="11.25" customHeight="1">
      <c r="A57" t="s">
        <v>16</v>
      </c>
      <c r="B57" t="s">
        <v>3362</v>
      </c>
      <c r="C57" t="s">
        <v>3363</v>
      </c>
      <c r="D57" t="s">
        <v>3372</v>
      </c>
      <c r="E57" t="s">
        <v>3373</v>
      </c>
      <c r="F57" t="s">
        <v>3262</v>
      </c>
      <c r="G57" t="s">
        <v>1839</v>
      </c>
    </row>
    <row r="58" spans="1:7" ht="11.25" customHeight="1">
      <c r="A58" t="s">
        <v>16</v>
      </c>
      <c r="B58" t="s">
        <v>3362</v>
      </c>
      <c r="C58" t="s">
        <v>3363</v>
      </c>
      <c r="D58" t="s">
        <v>3374</v>
      </c>
      <c r="E58" t="s">
        <v>3375</v>
      </c>
      <c r="F58" t="s">
        <v>3266</v>
      </c>
      <c r="G58" t="s">
        <v>1842</v>
      </c>
    </row>
    <row r="59" spans="1:7" ht="11.25" customHeight="1">
      <c r="A59" t="s">
        <v>16</v>
      </c>
      <c r="B59" t="s">
        <v>3362</v>
      </c>
      <c r="C59" t="s">
        <v>3363</v>
      </c>
      <c r="D59" t="s">
        <v>3376</v>
      </c>
      <c r="E59" t="s">
        <v>3377</v>
      </c>
      <c r="F59" t="s">
        <v>3262</v>
      </c>
      <c r="G59" t="s">
        <v>1846</v>
      </c>
    </row>
    <row r="60" spans="1:7" ht="11.25" customHeight="1">
      <c r="A60" t="s">
        <v>16</v>
      </c>
      <c r="B60" t="s">
        <v>3362</v>
      </c>
      <c r="C60" t="s">
        <v>3363</v>
      </c>
      <c r="D60" t="s">
        <v>3378</v>
      </c>
      <c r="E60" t="s">
        <v>3379</v>
      </c>
      <c r="F60" t="s">
        <v>3266</v>
      </c>
      <c r="G60" t="s">
        <v>1849</v>
      </c>
    </row>
    <row r="61" spans="1:7" ht="11.25" customHeight="1">
      <c r="A61" t="s">
        <v>16</v>
      </c>
      <c r="B61" t="s">
        <v>3362</v>
      </c>
      <c r="C61" t="s">
        <v>3363</v>
      </c>
      <c r="D61" t="s">
        <v>3380</v>
      </c>
      <c r="E61" t="s">
        <v>3381</v>
      </c>
      <c r="F61" t="s">
        <v>3262</v>
      </c>
      <c r="G61" t="s">
        <v>3382</v>
      </c>
    </row>
    <row r="62" spans="1:7" ht="11.25" customHeight="1">
      <c r="A62" t="s">
        <v>16</v>
      </c>
      <c r="B62" t="s">
        <v>3362</v>
      </c>
      <c r="C62" t="s">
        <v>3363</v>
      </c>
      <c r="D62" t="s">
        <v>3383</v>
      </c>
      <c r="E62" t="s">
        <v>3384</v>
      </c>
      <c r="F62" t="s">
        <v>3266</v>
      </c>
      <c r="G62" t="s">
        <v>3385</v>
      </c>
    </row>
    <row r="63" spans="1:7" ht="11.25" customHeight="1">
      <c r="A63" t="s">
        <v>16</v>
      </c>
      <c r="B63" t="s">
        <v>3362</v>
      </c>
      <c r="C63" t="s">
        <v>3363</v>
      </c>
      <c r="D63" t="s">
        <v>3386</v>
      </c>
      <c r="E63" t="s">
        <v>3387</v>
      </c>
      <c r="F63" t="s">
        <v>3266</v>
      </c>
      <c r="G63" t="s">
        <v>3388</v>
      </c>
    </row>
    <row r="64" spans="1:7" ht="11.25" customHeight="1">
      <c r="A64" t="s">
        <v>16</v>
      </c>
      <c r="B64" t="s">
        <v>3389</v>
      </c>
      <c r="C64" t="s">
        <v>3390</v>
      </c>
      <c r="D64" t="s">
        <v>3389</v>
      </c>
      <c r="E64" t="s">
        <v>3390</v>
      </c>
      <c r="F64" t="s">
        <v>3293</v>
      </c>
      <c r="G64" t="s">
        <v>3391</v>
      </c>
    </row>
    <row r="65" spans="1:7" ht="11.25" customHeight="1">
      <c r="A65" t="s">
        <v>16</v>
      </c>
      <c r="B65" t="s">
        <v>3392</v>
      </c>
      <c r="C65" t="s">
        <v>3393</v>
      </c>
      <c r="D65" t="s">
        <v>3392</v>
      </c>
      <c r="E65" t="s">
        <v>3393</v>
      </c>
      <c r="F65" t="s">
        <v>3293</v>
      </c>
      <c r="G65" t="s">
        <v>3394</v>
      </c>
    </row>
    <row r="66" spans="1:7" ht="11.25" customHeight="1">
      <c r="A66" t="s">
        <v>16</v>
      </c>
      <c r="B66" t="s">
        <v>3395</v>
      </c>
      <c r="C66" t="s">
        <v>3396</v>
      </c>
      <c r="D66" t="s">
        <v>3395</v>
      </c>
      <c r="E66" t="s">
        <v>3396</v>
      </c>
      <c r="F66" t="s">
        <v>3293</v>
      </c>
      <c r="G66" t="s">
        <v>3397</v>
      </c>
    </row>
    <row r="67" spans="1:7" ht="11.25" customHeight="1">
      <c r="A67" t="s">
        <v>16</v>
      </c>
      <c r="B67" t="s">
        <v>3398</v>
      </c>
      <c r="C67" t="s">
        <v>3399</v>
      </c>
      <c r="D67" t="s">
        <v>3400</v>
      </c>
      <c r="E67" t="s">
        <v>3401</v>
      </c>
      <c r="F67" t="s">
        <v>3262</v>
      </c>
      <c r="G67" t="s">
        <v>2151</v>
      </c>
    </row>
    <row r="68" spans="1:7" ht="11.25" customHeight="1">
      <c r="A68" t="s">
        <v>16</v>
      </c>
      <c r="B68" t="s">
        <v>3398</v>
      </c>
      <c r="C68" t="s">
        <v>3399</v>
      </c>
      <c r="D68" t="s">
        <v>3402</v>
      </c>
      <c r="E68" t="s">
        <v>3403</v>
      </c>
      <c r="F68" t="s">
        <v>3266</v>
      </c>
      <c r="G68" t="s">
        <v>3404</v>
      </c>
    </row>
    <row r="69" spans="1:7" ht="11.25" customHeight="1">
      <c r="A69" t="s">
        <v>16</v>
      </c>
      <c r="B69" t="s">
        <v>3398</v>
      </c>
      <c r="C69" t="s">
        <v>3399</v>
      </c>
      <c r="D69" t="s">
        <v>3405</v>
      </c>
      <c r="E69" t="s">
        <v>3406</v>
      </c>
      <c r="F69" t="s">
        <v>3262</v>
      </c>
      <c r="G69" t="s">
        <v>2351</v>
      </c>
    </row>
    <row r="70" spans="1:7" ht="11.25" customHeight="1">
      <c r="A70" t="s">
        <v>16</v>
      </c>
      <c r="B70" t="s">
        <v>3398</v>
      </c>
      <c r="C70" t="s">
        <v>3399</v>
      </c>
      <c r="D70" t="s">
        <v>3407</v>
      </c>
      <c r="E70" t="s">
        <v>3408</v>
      </c>
      <c r="F70" t="s">
        <v>3262</v>
      </c>
      <c r="G70" t="s">
        <v>3409</v>
      </c>
    </row>
    <row r="71" spans="1:7" ht="11.25" customHeight="1">
      <c r="A71" t="s">
        <v>16</v>
      </c>
      <c r="B71" t="s">
        <v>3398</v>
      </c>
      <c r="C71" t="s">
        <v>3399</v>
      </c>
      <c r="D71" t="s">
        <v>3410</v>
      </c>
      <c r="E71" t="s">
        <v>3411</v>
      </c>
      <c r="F71" t="s">
        <v>3262</v>
      </c>
      <c r="G71" t="s">
        <v>3412</v>
      </c>
    </row>
    <row r="72" spans="1:7" ht="11.25" customHeight="1">
      <c r="A72" t="s">
        <v>16</v>
      </c>
      <c r="B72" t="s">
        <v>3398</v>
      </c>
      <c r="C72" t="s">
        <v>3399</v>
      </c>
      <c r="D72" t="s">
        <v>3413</v>
      </c>
      <c r="E72" t="s">
        <v>3414</v>
      </c>
      <c r="F72" t="s">
        <v>3262</v>
      </c>
      <c r="G72" t="s">
        <v>3415</v>
      </c>
    </row>
    <row r="73" spans="1:7" ht="11.25" customHeight="1">
      <c r="A73" t="s">
        <v>16</v>
      </c>
      <c r="B73" t="s">
        <v>3398</v>
      </c>
      <c r="C73" t="s">
        <v>3399</v>
      </c>
      <c r="D73" t="s">
        <v>3416</v>
      </c>
      <c r="E73" t="s">
        <v>3417</v>
      </c>
      <c r="F73" t="s">
        <v>3418</v>
      </c>
      <c r="G73" t="s">
        <v>3419</v>
      </c>
    </row>
    <row r="74" spans="1:7" ht="11.25" customHeight="1">
      <c r="A74" t="s">
        <v>16</v>
      </c>
      <c r="B74" t="s">
        <v>3398</v>
      </c>
      <c r="C74" t="s">
        <v>3399</v>
      </c>
      <c r="D74" t="s">
        <v>3398</v>
      </c>
      <c r="E74" t="s">
        <v>3399</v>
      </c>
      <c r="F74" t="s">
        <v>3263</v>
      </c>
      <c r="G74" t="s">
        <v>3420</v>
      </c>
    </row>
    <row r="75" spans="1:7" ht="11.25" customHeight="1">
      <c r="A75" t="s">
        <v>16</v>
      </c>
      <c r="B75" t="s">
        <v>3398</v>
      </c>
      <c r="C75" t="s">
        <v>3399</v>
      </c>
      <c r="D75" t="s">
        <v>3421</v>
      </c>
      <c r="E75" t="s">
        <v>3422</v>
      </c>
      <c r="F75" t="s">
        <v>3262</v>
      </c>
      <c r="G75" t="s">
        <v>3423</v>
      </c>
    </row>
    <row r="76" spans="1:7" ht="11.25" customHeight="1">
      <c r="A76" t="s">
        <v>16</v>
      </c>
      <c r="B76" t="s">
        <v>100</v>
      </c>
      <c r="C76" t="s">
        <v>101</v>
      </c>
      <c r="D76" t="s">
        <v>100</v>
      </c>
      <c r="E76" t="s">
        <v>101</v>
      </c>
      <c r="F76" t="s">
        <v>3293</v>
      </c>
      <c r="G76" t="s">
        <v>99</v>
      </c>
    </row>
    <row r="77" spans="1:7" ht="11.25" customHeight="1">
      <c r="A77" t="s">
        <v>16</v>
      </c>
      <c r="B77" t="s">
        <v>3424</v>
      </c>
      <c r="C77" t="s">
        <v>3425</v>
      </c>
      <c r="D77" t="s">
        <v>3426</v>
      </c>
      <c r="E77" t="s">
        <v>3427</v>
      </c>
      <c r="F77" t="s">
        <v>3262</v>
      </c>
      <c r="G77" t="s">
        <v>3428</v>
      </c>
    </row>
    <row r="78" spans="1:7" ht="11.25" customHeight="1">
      <c r="A78" t="s">
        <v>16</v>
      </c>
      <c r="B78" t="s">
        <v>3424</v>
      </c>
      <c r="C78" t="s">
        <v>3425</v>
      </c>
      <c r="D78" t="s">
        <v>3429</v>
      </c>
      <c r="E78" t="s">
        <v>3430</v>
      </c>
      <c r="F78" t="s">
        <v>3262</v>
      </c>
      <c r="G78" t="s">
        <v>3431</v>
      </c>
    </row>
    <row r="79" spans="1:7" ht="11.25" customHeight="1">
      <c r="A79" t="s">
        <v>16</v>
      </c>
      <c r="B79" t="s">
        <v>3424</v>
      </c>
      <c r="C79" t="s">
        <v>3425</v>
      </c>
      <c r="D79" t="s">
        <v>3432</v>
      </c>
      <c r="E79" t="s">
        <v>3433</v>
      </c>
      <c r="F79" t="s">
        <v>3266</v>
      </c>
      <c r="G79" t="s">
        <v>3434</v>
      </c>
    </row>
    <row r="80" spans="1:7" ht="11.25" customHeight="1">
      <c r="A80" t="s">
        <v>16</v>
      </c>
      <c r="B80" t="s">
        <v>3424</v>
      </c>
      <c r="C80" t="s">
        <v>3425</v>
      </c>
      <c r="D80" t="s">
        <v>3435</v>
      </c>
      <c r="E80" t="s">
        <v>3436</v>
      </c>
      <c r="F80" t="s">
        <v>3266</v>
      </c>
      <c r="G80" t="s">
        <v>3437</v>
      </c>
    </row>
    <row r="81" spans="1:7" ht="11.25" customHeight="1">
      <c r="A81" t="s">
        <v>16</v>
      </c>
      <c r="B81" t="s">
        <v>3424</v>
      </c>
      <c r="C81" t="s">
        <v>3425</v>
      </c>
      <c r="D81" t="s">
        <v>3438</v>
      </c>
      <c r="E81" t="s">
        <v>3439</v>
      </c>
      <c r="F81" t="s">
        <v>3418</v>
      </c>
      <c r="G81" t="s">
        <v>3440</v>
      </c>
    </row>
    <row r="82" spans="1:7" ht="11.25" customHeight="1">
      <c r="A82" t="s">
        <v>16</v>
      </c>
      <c r="B82" t="s">
        <v>3424</v>
      </c>
      <c r="C82" t="s">
        <v>3425</v>
      </c>
      <c r="D82" t="s">
        <v>3441</v>
      </c>
      <c r="E82" t="s">
        <v>3442</v>
      </c>
      <c r="F82" t="s">
        <v>3266</v>
      </c>
      <c r="G82" t="s">
        <v>3443</v>
      </c>
    </row>
    <row r="83" spans="1:7" ht="11.25" customHeight="1">
      <c r="A83" t="s">
        <v>16</v>
      </c>
      <c r="B83" t="s">
        <v>3424</v>
      </c>
      <c r="C83" t="s">
        <v>3425</v>
      </c>
      <c r="D83" t="s">
        <v>3444</v>
      </c>
      <c r="E83" t="s">
        <v>3445</v>
      </c>
      <c r="F83" t="s">
        <v>3266</v>
      </c>
      <c r="G83" t="s">
        <v>3446</v>
      </c>
    </row>
    <row r="84" spans="1:7" ht="11.25" customHeight="1">
      <c r="A84" t="s">
        <v>16</v>
      </c>
      <c r="B84" t="s">
        <v>3424</v>
      </c>
      <c r="C84" t="s">
        <v>3425</v>
      </c>
      <c r="D84" t="s">
        <v>3447</v>
      </c>
      <c r="E84" t="s">
        <v>3448</v>
      </c>
      <c r="F84" t="s">
        <v>3266</v>
      </c>
      <c r="G84" t="s">
        <v>3449</v>
      </c>
    </row>
    <row r="85" spans="1:7" ht="11.25" customHeight="1">
      <c r="A85" t="s">
        <v>16</v>
      </c>
      <c r="B85" t="s">
        <v>3424</v>
      </c>
      <c r="C85" t="s">
        <v>3425</v>
      </c>
      <c r="D85" t="s">
        <v>3424</v>
      </c>
      <c r="E85" t="s">
        <v>3425</v>
      </c>
      <c r="F85" t="s">
        <v>3263</v>
      </c>
      <c r="G85" t="s">
        <v>3450</v>
      </c>
    </row>
    <row r="86" spans="1:7" ht="11.25" customHeight="1">
      <c r="A86" t="s">
        <v>16</v>
      </c>
      <c r="B86" t="s">
        <v>3424</v>
      </c>
      <c r="C86" t="s">
        <v>3425</v>
      </c>
      <c r="D86" t="s">
        <v>3451</v>
      </c>
      <c r="E86" t="s">
        <v>3452</v>
      </c>
      <c r="F86" t="s">
        <v>3266</v>
      </c>
      <c r="G86" t="s">
        <v>3453</v>
      </c>
    </row>
    <row r="87" spans="1:7" ht="11.25" customHeight="1">
      <c r="A87" t="s">
        <v>16</v>
      </c>
      <c r="B87" t="s">
        <v>3424</v>
      </c>
      <c r="C87" t="s">
        <v>3425</v>
      </c>
      <c r="D87" t="s">
        <v>3454</v>
      </c>
      <c r="E87" t="s">
        <v>3455</v>
      </c>
      <c r="F87" t="s">
        <v>3266</v>
      </c>
      <c r="G87" t="s">
        <v>3456</v>
      </c>
    </row>
    <row r="88" spans="1:7" ht="11.25" customHeight="1">
      <c r="A88" t="s">
        <v>16</v>
      </c>
      <c r="B88" t="s">
        <v>3424</v>
      </c>
      <c r="C88" t="s">
        <v>3425</v>
      </c>
      <c r="D88" t="s">
        <v>3457</v>
      </c>
      <c r="E88" t="s">
        <v>3458</v>
      </c>
      <c r="F88" t="s">
        <v>3266</v>
      </c>
      <c r="G88" t="s">
        <v>3459</v>
      </c>
    </row>
    <row r="89" spans="1:7" ht="11.25" customHeight="1">
      <c r="A89" t="s">
        <v>16</v>
      </c>
      <c r="B89" t="s">
        <v>3424</v>
      </c>
      <c r="C89" t="s">
        <v>3425</v>
      </c>
      <c r="D89" t="s">
        <v>3460</v>
      </c>
      <c r="E89" t="s">
        <v>3461</v>
      </c>
      <c r="F89" t="s">
        <v>3266</v>
      </c>
      <c r="G89" t="s">
        <v>3462</v>
      </c>
    </row>
    <row r="90" spans="1:7" ht="11.25" customHeight="1">
      <c r="A90" t="s">
        <v>16</v>
      </c>
      <c r="B90" t="s">
        <v>3424</v>
      </c>
      <c r="C90" t="s">
        <v>3425</v>
      </c>
      <c r="D90" t="s">
        <v>3463</v>
      </c>
      <c r="E90" t="s">
        <v>3464</v>
      </c>
      <c r="F90" t="s">
        <v>3262</v>
      </c>
      <c r="G90" t="s">
        <v>3465</v>
      </c>
    </row>
    <row r="91" spans="1:7" ht="11.25" customHeight="1">
      <c r="A91" t="s">
        <v>16</v>
      </c>
      <c r="B91" t="s">
        <v>3466</v>
      </c>
      <c r="C91" t="s">
        <v>3467</v>
      </c>
      <c r="D91" t="s">
        <v>3466</v>
      </c>
      <c r="E91" t="s">
        <v>3467</v>
      </c>
      <c r="F91" t="s">
        <v>3293</v>
      </c>
      <c r="G91" t="s">
        <v>3468</v>
      </c>
    </row>
    <row r="92" spans="1:7" ht="11.25" customHeight="1">
      <c r="A92" t="s">
        <v>16</v>
      </c>
      <c r="B92" t="s">
        <v>3469</v>
      </c>
      <c r="C92" t="s">
        <v>3470</v>
      </c>
      <c r="D92" t="s">
        <v>3469</v>
      </c>
      <c r="E92" t="s">
        <v>3470</v>
      </c>
      <c r="F92" t="s">
        <v>3293</v>
      </c>
      <c r="G92" t="s">
        <v>3471</v>
      </c>
    </row>
    <row r="93" spans="1:7" ht="11.25" customHeight="1">
      <c r="A93" t="s">
        <v>16</v>
      </c>
      <c r="B93" t="s">
        <v>3472</v>
      </c>
      <c r="C93" t="s">
        <v>3473</v>
      </c>
      <c r="D93" t="s">
        <v>3474</v>
      </c>
      <c r="E93" t="s">
        <v>3475</v>
      </c>
      <c r="F93" t="s">
        <v>3266</v>
      </c>
      <c r="G93" t="s">
        <v>3476</v>
      </c>
    </row>
    <row r="94" spans="1:7" ht="11.25" customHeight="1">
      <c r="A94" t="s">
        <v>16</v>
      </c>
      <c r="B94" t="s">
        <v>3472</v>
      </c>
      <c r="C94" t="s">
        <v>3473</v>
      </c>
      <c r="D94" t="s">
        <v>3477</v>
      </c>
      <c r="E94" t="s">
        <v>3478</v>
      </c>
      <c r="F94" t="s">
        <v>3266</v>
      </c>
      <c r="G94" t="s">
        <v>3479</v>
      </c>
    </row>
    <row r="95" spans="1:7" ht="11.25" customHeight="1">
      <c r="A95" t="s">
        <v>16</v>
      </c>
      <c r="B95" t="s">
        <v>3472</v>
      </c>
      <c r="C95" t="s">
        <v>3473</v>
      </c>
      <c r="D95" t="s">
        <v>3480</v>
      </c>
      <c r="E95" t="s">
        <v>3481</v>
      </c>
      <c r="F95" t="s">
        <v>3266</v>
      </c>
      <c r="G95" t="s">
        <v>3482</v>
      </c>
    </row>
    <row r="96" spans="1:7" ht="11.25" customHeight="1">
      <c r="A96" t="s">
        <v>16</v>
      </c>
      <c r="B96" t="s">
        <v>3472</v>
      </c>
      <c r="C96" t="s">
        <v>3473</v>
      </c>
      <c r="D96" t="s">
        <v>3483</v>
      </c>
      <c r="E96" t="s">
        <v>3484</v>
      </c>
      <c r="F96" t="s">
        <v>3266</v>
      </c>
      <c r="G96" t="s">
        <v>3485</v>
      </c>
    </row>
    <row r="97" spans="1:7" ht="11.25" customHeight="1">
      <c r="A97" t="s">
        <v>16</v>
      </c>
      <c r="B97" t="s">
        <v>3472</v>
      </c>
      <c r="C97" t="s">
        <v>3473</v>
      </c>
      <c r="D97" t="s">
        <v>3486</v>
      </c>
      <c r="E97" t="s">
        <v>3487</v>
      </c>
      <c r="F97" t="s">
        <v>3266</v>
      </c>
      <c r="G97" t="s">
        <v>3488</v>
      </c>
    </row>
    <row r="98" spans="1:7" ht="11.25" customHeight="1">
      <c r="A98" t="s">
        <v>16</v>
      </c>
      <c r="B98" t="s">
        <v>3472</v>
      </c>
      <c r="C98" t="s">
        <v>3473</v>
      </c>
      <c r="D98" t="s">
        <v>3489</v>
      </c>
      <c r="E98" t="s">
        <v>3490</v>
      </c>
      <c r="F98" t="s">
        <v>3266</v>
      </c>
      <c r="G98" t="s">
        <v>3491</v>
      </c>
    </row>
    <row r="99" spans="1:7" ht="11.25" customHeight="1">
      <c r="A99" t="s">
        <v>16</v>
      </c>
      <c r="B99" t="s">
        <v>3472</v>
      </c>
      <c r="C99" t="s">
        <v>3473</v>
      </c>
      <c r="D99" t="s">
        <v>3492</v>
      </c>
      <c r="E99" t="s">
        <v>3493</v>
      </c>
      <c r="F99" t="s">
        <v>3266</v>
      </c>
      <c r="G99" t="s">
        <v>3494</v>
      </c>
    </row>
    <row r="100" spans="1:7" ht="11.25" customHeight="1">
      <c r="A100" t="s">
        <v>16</v>
      </c>
      <c r="B100" t="s">
        <v>3472</v>
      </c>
      <c r="C100" t="s">
        <v>3473</v>
      </c>
      <c r="D100" t="s">
        <v>3495</v>
      </c>
      <c r="E100" t="s">
        <v>3496</v>
      </c>
      <c r="F100" t="s">
        <v>3266</v>
      </c>
      <c r="G100" t="s">
        <v>3497</v>
      </c>
    </row>
    <row r="101" spans="1:7" ht="11.25" customHeight="1">
      <c r="A101" t="s">
        <v>16</v>
      </c>
      <c r="B101" t="s">
        <v>3472</v>
      </c>
      <c r="C101" t="s">
        <v>3473</v>
      </c>
      <c r="D101" t="s">
        <v>3498</v>
      </c>
      <c r="E101" t="s">
        <v>3499</v>
      </c>
      <c r="F101" t="s">
        <v>3266</v>
      </c>
      <c r="G101" t="s">
        <v>3500</v>
      </c>
    </row>
    <row r="102" spans="1:7" ht="11.25" customHeight="1">
      <c r="A102" t="s">
        <v>16</v>
      </c>
      <c r="B102" t="s">
        <v>3472</v>
      </c>
      <c r="C102" t="s">
        <v>3473</v>
      </c>
      <c r="D102" t="s">
        <v>3472</v>
      </c>
      <c r="E102" t="s">
        <v>3473</v>
      </c>
      <c r="F102" t="s">
        <v>3263</v>
      </c>
      <c r="G102" t="s">
        <v>3501</v>
      </c>
    </row>
    <row r="103" spans="1:7" ht="11.25" customHeight="1">
      <c r="A103" t="s">
        <v>16</v>
      </c>
      <c r="B103" t="s">
        <v>3472</v>
      </c>
      <c r="C103" t="s">
        <v>3473</v>
      </c>
      <c r="D103" t="s">
        <v>3502</v>
      </c>
      <c r="E103" t="s">
        <v>3503</v>
      </c>
      <c r="F103" t="s">
        <v>3266</v>
      </c>
      <c r="G103" t="s">
        <v>3504</v>
      </c>
    </row>
    <row r="104" spans="1:7" ht="11.25" customHeight="1">
      <c r="A104" t="s">
        <v>16</v>
      </c>
      <c r="B104" t="s">
        <v>3472</v>
      </c>
      <c r="C104" t="s">
        <v>3473</v>
      </c>
      <c r="D104" t="s">
        <v>3505</v>
      </c>
      <c r="E104" t="s">
        <v>3506</v>
      </c>
      <c r="F104" t="s">
        <v>3266</v>
      </c>
      <c r="G104" t="s">
        <v>3507</v>
      </c>
    </row>
    <row r="105" spans="1:7" ht="11.25" customHeight="1">
      <c r="A105" t="s">
        <v>16</v>
      </c>
      <c r="B105" t="s">
        <v>3472</v>
      </c>
      <c r="C105" t="s">
        <v>3473</v>
      </c>
      <c r="D105" t="s">
        <v>3508</v>
      </c>
      <c r="E105" t="s">
        <v>3509</v>
      </c>
      <c r="F105" t="s">
        <v>3266</v>
      </c>
      <c r="G105" t="s">
        <v>3510</v>
      </c>
    </row>
    <row r="106" spans="1:7" ht="11.25" customHeight="1">
      <c r="A106" t="s">
        <v>16</v>
      </c>
      <c r="B106" t="s">
        <v>3511</v>
      </c>
      <c r="C106" t="s">
        <v>3512</v>
      </c>
      <c r="D106" t="s">
        <v>3511</v>
      </c>
      <c r="E106" t="s">
        <v>3512</v>
      </c>
      <c r="F106" t="s">
        <v>3293</v>
      </c>
      <c r="G106" t="s">
        <v>3513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3665</v>
      </c>
      <c r="B1" s="32" t="s">
        <v>3666</v>
      </c>
      <c r="C1" s="32" t="s">
        <v>1341</v>
      </c>
    </row>
    <row r="2" spans="1:3" ht="11.25" customHeight="1">
      <c r="A2" s="32">
        <v>4189678</v>
      </c>
      <c r="B2" s="32" t="s">
        <v>3667</v>
      </c>
      <c r="C2" s="32" t="s">
        <v>3668</v>
      </c>
    </row>
    <row r="3" spans="1:3" ht="11.25" customHeight="1">
      <c r="A3" s="32">
        <v>4190415</v>
      </c>
      <c r="B3" s="32" t="s">
        <v>3669</v>
      </c>
      <c r="C3" s="32" t="s">
        <v>3668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3670</v>
      </c>
      <c r="B1" s="76" t="s">
        <v>3671</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3672</v>
      </c>
      <c r="B1" t="b">
        <v>1</v>
      </c>
    </row>
    <row r="2" spans="1:2" ht="11.25" customHeight="1">
      <c r="A2" t="s">
        <v>3673</v>
      </c>
      <c r="B2" t="b">
        <v>0</v>
      </c>
    </row>
    <row r="3" spans="1:2" ht="11.25" customHeight="1">
      <c r="A3" t="s">
        <v>3674</v>
      </c>
      <c r="B3" t="b">
        <v>0</v>
      </c>
    </row>
    <row r="4" spans="1:2" ht="11.25" customHeight="1">
      <c r="A4" t="s">
        <v>3675</v>
      </c>
      <c r="B4" t="b">
        <v>1</v>
      </c>
    </row>
    <row r="5" spans="1:2" ht="11.25" customHeight="1">
      <c r="A5" t="s">
        <v>3676</v>
      </c>
      <c r="B5" t="b">
        <v>0</v>
      </c>
    </row>
    <row r="6" spans="1:2" ht="11.25" customHeight="1">
      <c r="A6" t="s">
        <v>3677</v>
      </c>
      <c r="B6" t="b">
        <v>0</v>
      </c>
    </row>
    <row r="7" spans="1:2" ht="11.25" customHeight="1">
      <c r="A7" t="s">
        <v>3678</v>
      </c>
      <c r="B7" t="b">
        <v>0</v>
      </c>
    </row>
    <row r="8" spans="1:2" ht="11.25" customHeight="1">
      <c r="A8" t="s">
        <v>3679</v>
      </c>
      <c r="B8" t="b">
        <v>0</v>
      </c>
    </row>
    <row r="9" spans="1:2" ht="11.25" customHeight="1">
      <c r="A9" t="s">
        <v>3680</v>
      </c>
      <c r="B9" t="b">
        <v>0</v>
      </c>
    </row>
    <row r="10" spans="1:2" ht="11.25" customHeight="1">
      <c r="A10" t="s">
        <v>3681</v>
      </c>
      <c r="B10" t="b">
        <v>1</v>
      </c>
    </row>
    <row r="11" spans="1:2" ht="11.25" customHeight="1">
      <c r="A11" t="s">
        <v>3682</v>
      </c>
      <c r="B11" t="b">
        <v>0</v>
      </c>
    </row>
    <row r="12" spans="1:2" ht="11.25" customHeight="1">
      <c r="A12" t="s">
        <v>3683</v>
      </c>
      <c r="B12" t="b">
        <v>0</v>
      </c>
    </row>
    <row r="13" spans="1:2" ht="11.25" customHeight="1">
      <c r="A13" t="s">
        <v>3684</v>
      </c>
      <c r="B13" t="b">
        <v>0</v>
      </c>
    </row>
    <row r="14" spans="1:2" ht="11.25" customHeight="1">
      <c r="A14" t="s">
        <v>3685</v>
      </c>
      <c r="B14" t="b">
        <v>0</v>
      </c>
    </row>
    <row r="15" spans="1:2" ht="11.25" customHeight="1">
      <c r="A15" t="s">
        <v>3686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3687</v>
      </c>
      <c r="B1" s="5" t="s">
        <v>3688</v>
      </c>
    </row>
    <row r="2" spans="1:2" ht="11.25" customHeight="1">
      <c r="A2" s="2" t="s">
        <v>3689</v>
      </c>
      <c r="B2" s="2" t="s">
        <v>3690</v>
      </c>
    </row>
    <row r="3" spans="1:2" ht="11.25" customHeight="1">
      <c r="A3" s="2" t="s">
        <v>3691</v>
      </c>
      <c r="B3" s="2" t="s">
        <v>3692</v>
      </c>
    </row>
    <row r="4" spans="1:2" ht="11.25" customHeight="1">
      <c r="A4" s="2" t="s">
        <v>3693</v>
      </c>
      <c r="B4" s="2" t="s">
        <v>3694</v>
      </c>
    </row>
    <row r="5" spans="1:2" ht="11.25" customHeight="1">
      <c r="A5" s="2" t="s">
        <v>3695</v>
      </c>
      <c r="B5" s="2" t="s">
        <v>3696</v>
      </c>
    </row>
    <row r="6" spans="1:2" ht="11.25" customHeight="1">
      <c r="A6" s="2" t="s">
        <v>3697</v>
      </c>
      <c r="B6" s="2" t="s">
        <v>3698</v>
      </c>
    </row>
    <row r="7" spans="1:2" ht="11.25" customHeight="1">
      <c r="A7" s="2" t="s">
        <v>3699</v>
      </c>
      <c r="B7" s="2" t="s">
        <v>3700</v>
      </c>
    </row>
    <row r="8" spans="1:2" ht="11.25" customHeight="1">
      <c r="A8" s="2" t="s">
        <v>3701</v>
      </c>
      <c r="B8" s="2" t="s">
        <v>3702</v>
      </c>
    </row>
    <row r="9" spans="1:2" ht="11.25" customHeight="1">
      <c r="A9" s="2" t="s">
        <v>3703</v>
      </c>
      <c r="B9" s="2" t="s">
        <v>3704</v>
      </c>
    </row>
    <row r="10" spans="1:2" ht="11.25" customHeight="1">
      <c r="A10" s="2" t="s">
        <v>3705</v>
      </c>
      <c r="B10" s="2" t="s">
        <v>3706</v>
      </c>
    </row>
    <row r="11" spans="1:2" ht="11.25" customHeight="1">
      <c r="A11" s="2" t="s">
        <v>3707</v>
      </c>
      <c r="B11" s="2" t="s">
        <v>3708</v>
      </c>
    </row>
    <row r="12" spans="1:2" ht="11.25" customHeight="1">
      <c r="A12" s="2" t="s">
        <v>3709</v>
      </c>
      <c r="B12" s="2" t="s">
        <v>3710</v>
      </c>
    </row>
    <row r="13" spans="1:2" ht="11.25" customHeight="1">
      <c r="A13" s="2" t="s">
        <v>3711</v>
      </c>
      <c r="B13" s="2" t="s">
        <v>3712</v>
      </c>
    </row>
    <row r="14" spans="1:2" ht="11.25" customHeight="1">
      <c r="A14" s="2" t="s">
        <v>3713</v>
      </c>
      <c r="B14" s="2" t="s">
        <v>3714</v>
      </c>
    </row>
    <row r="15" spans="1:2" ht="11.25" customHeight="1">
      <c r="A15" s="2" t="s">
        <v>3715</v>
      </c>
      <c r="B15" s="2" t="s">
        <v>3716</v>
      </c>
    </row>
    <row r="16" spans="1:2" ht="11.25" customHeight="1">
      <c r="A16" s="2" t="s">
        <v>3717</v>
      </c>
      <c r="B16" s="2" t="s">
        <v>3718</v>
      </c>
    </row>
    <row r="17" spans="1:2" ht="11.25" customHeight="1">
      <c r="A17" s="2" t="s">
        <v>3719</v>
      </c>
      <c r="B17" s="2" t="s">
        <v>3720</v>
      </c>
    </row>
    <row r="18" spans="1:2" ht="11.25" customHeight="1">
      <c r="A18" s="2" t="s">
        <v>3721</v>
      </c>
      <c r="B18" s="2" t="s">
        <v>3722</v>
      </c>
    </row>
    <row r="19" spans="1:2" ht="11.25" customHeight="1">
      <c r="A19" s="2" t="s">
        <v>3723</v>
      </c>
      <c r="B19" s="2" t="s">
        <v>3724</v>
      </c>
    </row>
    <row r="20" spans="1:2" ht="11.25" customHeight="1">
      <c r="A20" s="2" t="s">
        <v>3725</v>
      </c>
      <c r="B20" s="2" t="s">
        <v>3726</v>
      </c>
    </row>
    <row r="21" spans="1:2" ht="11.25" customHeight="1">
      <c r="A21" s="2" t="s">
        <v>3727</v>
      </c>
      <c r="B21" s="2" t="s">
        <v>3728</v>
      </c>
    </row>
    <row r="22" spans="1:2" ht="11.25" customHeight="1">
      <c r="A22" s="2" t="s">
        <v>3729</v>
      </c>
      <c r="B22" s="2" t="s">
        <v>3730</v>
      </c>
    </row>
    <row r="23" spans="1:2" ht="11.25" customHeight="1">
      <c r="A23" s="2" t="s">
        <v>3731</v>
      </c>
      <c r="B23" s="2" t="s">
        <v>3732</v>
      </c>
    </row>
    <row r="24" spans="1:2" ht="11.25" customHeight="1">
      <c r="A24" s="2" t="s">
        <v>3733</v>
      </c>
      <c r="B24" s="2" t="s">
        <v>3734</v>
      </c>
    </row>
    <row r="25" spans="1:2" ht="11.25" customHeight="1">
      <c r="A25" s="2" t="s">
        <v>3735</v>
      </c>
      <c r="B25" s="2" t="s">
        <v>3736</v>
      </c>
    </row>
    <row r="26" spans="1:2" ht="11.25" customHeight="1">
      <c r="A26" s="2" t="s">
        <v>3737</v>
      </c>
      <c r="B26" s="2" t="s">
        <v>3738</v>
      </c>
    </row>
    <row r="27" spans="1:2" ht="11.25" customHeight="1">
      <c r="A27" s="2" t="s">
        <v>3739</v>
      </c>
      <c r="B27" s="2" t="s">
        <v>3740</v>
      </c>
    </row>
    <row r="28" spans="1:2" ht="11.25" customHeight="1">
      <c r="A28" s="2" t="s">
        <v>3741</v>
      </c>
      <c r="B28" s="2" t="s">
        <v>3742</v>
      </c>
    </row>
    <row r="29" spans="1:2" ht="11.25" customHeight="1">
      <c r="A29" s="2" t="s">
        <v>3743</v>
      </c>
      <c r="B29" s="2" t="s">
        <v>3744</v>
      </c>
    </row>
    <row r="30" spans="1:2" ht="11.25" customHeight="1">
      <c r="A30" s="2" t="s">
        <v>3745</v>
      </c>
      <c r="B30" s="2" t="s">
        <v>3746</v>
      </c>
    </row>
    <row r="31" spans="1:2" ht="11.25" customHeight="1">
      <c r="A31" s="2" t="s">
        <v>3747</v>
      </c>
      <c r="B31" s="2" t="s">
        <v>3748</v>
      </c>
    </row>
    <row r="32" spans="1:2" ht="11.25" customHeight="1">
      <c r="A32" s="2" t="s">
        <v>3749</v>
      </c>
      <c r="B32" s="2" t="s">
        <v>3750</v>
      </c>
    </row>
    <row r="33" spans="1:2" ht="11.25" customHeight="1">
      <c r="A33" s="2" t="s">
        <v>3751</v>
      </c>
      <c r="B33" s="2" t="s">
        <v>3752</v>
      </c>
    </row>
    <row r="34" spans="1:2" ht="11.25" customHeight="1">
      <c r="A34" s="2" t="s">
        <v>3753</v>
      </c>
      <c r="B34" s="2" t="s">
        <v>3754</v>
      </c>
    </row>
    <row r="35" spans="1:2" ht="11.25" customHeight="1">
      <c r="A35" s="2" t="s">
        <v>3755</v>
      </c>
      <c r="B35" s="2" t="s">
        <v>3756</v>
      </c>
    </row>
    <row r="36" spans="1:2" ht="11.25" customHeight="1">
      <c r="A36" s="2" t="s">
        <v>3757</v>
      </c>
      <c r="B36" s="2" t="s">
        <v>3758</v>
      </c>
    </row>
    <row r="37" spans="1:2" ht="11.25" customHeight="1">
      <c r="A37" s="2" t="s">
        <v>3759</v>
      </c>
      <c r="B37" s="2" t="s">
        <v>3760</v>
      </c>
    </row>
    <row r="38" spans="1:2" ht="11.25" customHeight="1">
      <c r="A38" s="2" t="s">
        <v>3761</v>
      </c>
      <c r="B38" s="2" t="s">
        <v>3762</v>
      </c>
    </row>
    <row r="39" spans="1:2" ht="11.25" customHeight="1">
      <c r="A39" s="2" t="s">
        <v>3763</v>
      </c>
      <c r="B39" s="2" t="s">
        <v>3764</v>
      </c>
    </row>
    <row r="40" spans="1:2" ht="11.25" customHeight="1">
      <c r="A40" s="2" t="s">
        <v>3765</v>
      </c>
      <c r="B40" s="2" t="s">
        <v>3766</v>
      </c>
    </row>
    <row r="41" spans="1:2" ht="11.25" customHeight="1">
      <c r="A41" s="2" t="s">
        <v>3767</v>
      </c>
      <c r="B41" s="2" t="s">
        <v>3768</v>
      </c>
    </row>
    <row r="42" spans="1:2" ht="11.25" customHeight="1">
      <c r="A42" s="2" t="s">
        <v>3769</v>
      </c>
      <c r="B42" s="2" t="s">
        <v>3770</v>
      </c>
    </row>
    <row r="43" spans="1:2" ht="11.25" customHeight="1">
      <c r="A43" s="2" t="s">
        <v>3771</v>
      </c>
      <c r="B43" s="2" t="s">
        <v>3772</v>
      </c>
    </row>
    <row r="44" spans="1:2" ht="11.25" customHeight="1">
      <c r="A44" s="2" t="s">
        <v>3773</v>
      </c>
      <c r="B44" s="2" t="s">
        <v>3774</v>
      </c>
    </row>
    <row r="45" spans="1:2" ht="11.25" customHeight="1">
      <c r="A45" s="2" t="s">
        <v>3775</v>
      </c>
      <c r="B45" s="2" t="s">
        <v>3776</v>
      </c>
    </row>
    <row r="46" spans="1:2" ht="11.25" customHeight="1">
      <c r="A46" s="2" t="s">
        <v>3777</v>
      </c>
      <c r="B46" s="2" t="s">
        <v>3778</v>
      </c>
    </row>
    <row r="47" spans="1:2" ht="11.25" customHeight="1">
      <c r="A47" s="2" t="s">
        <v>3779</v>
      </c>
      <c r="B47" s="2" t="s">
        <v>3780</v>
      </c>
    </row>
    <row r="48" spans="1:2" ht="11.25" customHeight="1">
      <c r="A48" s="2" t="s">
        <v>3781</v>
      </c>
      <c r="B48" s="2" t="s">
        <v>3782</v>
      </c>
    </row>
    <row r="49" spans="1:2" ht="11.25" customHeight="1">
      <c r="A49" s="2" t="s">
        <v>3783</v>
      </c>
      <c r="B49" s="2" t="s">
        <v>3784</v>
      </c>
    </row>
    <row r="50" spans="1:2" ht="11.25" customHeight="1">
      <c r="A50" s="2" t="s">
        <v>3785</v>
      </c>
      <c r="B50" s="2" t="s">
        <v>3786</v>
      </c>
    </row>
    <row r="51" spans="1:2" ht="11.25" customHeight="1">
      <c r="A51" s="2" t="s">
        <v>3787</v>
      </c>
      <c r="B51" s="2" t="s">
        <v>3788</v>
      </c>
    </row>
    <row r="52" spans="1:2" ht="11.25" customHeight="1">
      <c r="A52" s="2" t="s">
        <v>3789</v>
      </c>
      <c r="B52" s="2" t="s">
        <v>3790</v>
      </c>
    </row>
    <row r="53" spans="1:2" ht="11.25" customHeight="1">
      <c r="A53" s="2" t="s">
        <v>3791</v>
      </c>
      <c r="B53" s="2" t="s">
        <v>3792</v>
      </c>
    </row>
    <row r="54" spans="1:2" ht="11.25" customHeight="1">
      <c r="A54" s="2" t="s">
        <v>3793</v>
      </c>
      <c r="B54" s="2" t="s">
        <v>3794</v>
      </c>
    </row>
    <row r="55" spans="1:2" ht="11.25" customHeight="1">
      <c r="A55" s="2" t="s">
        <v>3795</v>
      </c>
      <c r="B55" s="2" t="s">
        <v>3796</v>
      </c>
    </row>
    <row r="56" spans="1:2" ht="11.25" customHeight="1">
      <c r="A56" s="2" t="s">
        <v>3797</v>
      </c>
      <c r="B56" s="2" t="s">
        <v>3798</v>
      </c>
    </row>
    <row r="57" spans="1:2" ht="11.25" customHeight="1">
      <c r="A57" s="2" t="s">
        <v>3799</v>
      </c>
      <c r="B57" s="2" t="s">
        <v>3800</v>
      </c>
    </row>
    <row r="58" spans="1:2" ht="11.25" customHeight="1">
      <c r="A58" s="2" t="s">
        <v>3801</v>
      </c>
      <c r="B58" s="2" t="s">
        <v>3802</v>
      </c>
    </row>
    <row r="59" spans="1:2" ht="11.25" customHeight="1">
      <c r="A59" s="2" t="s">
        <v>3803</v>
      </c>
      <c r="B59" s="2" t="s">
        <v>3804</v>
      </c>
    </row>
    <row r="60" spans="1:2" ht="11.25" customHeight="1">
      <c r="A60" s="2" t="s">
        <v>3805</v>
      </c>
      <c r="B60" s="2" t="s">
        <v>3806</v>
      </c>
    </row>
    <row r="61" spans="1:2" ht="11.25" customHeight="1">
      <c r="A61" s="2"/>
      <c r="B61" s="2" t="s">
        <v>3807</v>
      </c>
    </row>
    <row r="62" spans="1:2" ht="11.25" customHeight="1">
      <c r="A62" s="2"/>
      <c r="B62" s="2" t="s">
        <v>3808</v>
      </c>
    </row>
    <row r="63" spans="1:2" ht="11.25" customHeight="1">
      <c r="A63" s="2"/>
      <c r="B63" s="2" t="s">
        <v>3809</v>
      </c>
    </row>
    <row r="64" spans="1:2" ht="11.25" customHeight="1">
      <c r="A64" s="2"/>
      <c r="B64" s="2" t="s">
        <v>3810</v>
      </c>
    </row>
    <row r="65" spans="1:2" ht="11.25" customHeight="1">
      <c r="A65" s="2"/>
      <c r="B65" s="2" t="s">
        <v>3811</v>
      </c>
    </row>
    <row r="66" spans="1:2" ht="11.25" customHeight="1">
      <c r="A66" s="2"/>
      <c r="B66" s="2" t="s">
        <v>3812</v>
      </c>
    </row>
    <row r="67" spans="1:2" ht="11.25" customHeight="1">
      <c r="A67" s="2"/>
      <c r="B67" s="2" t="s">
        <v>3813</v>
      </c>
    </row>
    <row r="68" spans="1:2" ht="11.25" customHeight="1">
      <c r="A68" s="2"/>
      <c r="B68" s="2" t="s">
        <v>3814</v>
      </c>
    </row>
    <row r="69" spans="1:2" ht="11.25" customHeight="1">
      <c r="A69" s="2"/>
      <c r="B69" s="2" t="s">
        <v>3815</v>
      </c>
    </row>
    <row r="70" spans="1:2" ht="11.25" customHeight="1">
      <c r="A70" s="2"/>
      <c r="B70" s="2" t="s">
        <v>3816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3817</v>
      </c>
    </row>
    <row r="2" spans="2:4" ht="90" customHeight="1">
      <c r="B2" s="27" t="s">
        <v>3818</v>
      </c>
    </row>
    <row r="3" spans="2:4" ht="67.5" customHeight="1">
      <c r="B3" s="27" t="s">
        <v>3819</v>
      </c>
    </row>
    <row r="4" spans="2:4" ht="33.75" customHeight="1">
      <c r="B4" s="27" t="s">
        <v>3820</v>
      </c>
    </row>
    <row r="5" spans="2:4" ht="11.25" customHeight="1">
      <c r="B5" s="27" t="s">
        <v>3821</v>
      </c>
    </row>
    <row r="6" spans="2:4" ht="22.5" customHeight="1">
      <c r="B6" s="27" t="s">
        <v>3822</v>
      </c>
    </row>
    <row r="7" spans="2:4" ht="22.5" customHeight="1">
      <c r="B7" s="27" t="s">
        <v>3823</v>
      </c>
    </row>
    <row r="8" spans="2:4" ht="22.5" customHeight="1">
      <c r="B8" s="27" t="s">
        <v>3824</v>
      </c>
    </row>
    <row r="9" spans="2:4" ht="22.5" customHeight="1">
      <c r="B9" s="27" t="s">
        <v>3825</v>
      </c>
    </row>
    <row r="10" spans="2:4" ht="56.25" customHeight="1">
      <c r="B10" s="27" t="s">
        <v>3826</v>
      </c>
    </row>
    <row r="11" spans="2:4" ht="12.75" customHeight="1">
      <c r="B11" s="72" t="s">
        <v>3827</v>
      </c>
    </row>
    <row r="12" spans="2:4" ht="11.25" customHeight="1">
      <c r="B12" s="26" t="s">
        <v>3828</v>
      </c>
    </row>
    <row r="13" spans="2:4" ht="22.5" customHeight="1">
      <c r="B13" s="27" t="s">
        <v>3829</v>
      </c>
    </row>
    <row r="14" spans="2:4" ht="67.5" customHeight="1">
      <c r="B14" s="27" t="s">
        <v>3830</v>
      </c>
    </row>
    <row r="15" spans="2:4" ht="22.5" customHeight="1">
      <c r="B15" s="27" t="s">
        <v>3831</v>
      </c>
    </row>
    <row r="16" spans="2:4" ht="11.25" customHeight="1">
      <c r="B16" s="26" t="s">
        <v>3832</v>
      </c>
      <c r="D16" s="32"/>
    </row>
    <row r="17" spans="2:2" ht="33.75" customHeight="1">
      <c r="B17" s="27" t="s">
        <v>3833</v>
      </c>
    </row>
    <row r="18" spans="2:2" ht="33.75" customHeight="1">
      <c r="B18" s="27" t="s">
        <v>3834</v>
      </c>
    </row>
    <row r="19" spans="2:2" ht="11.25" customHeight="1">
      <c r="B19" s="27" t="s">
        <v>3835</v>
      </c>
    </row>
    <row r="20" spans="2:2" ht="33.75" customHeight="1">
      <c r="B20" s="27" t="s">
        <v>3836</v>
      </c>
    </row>
    <row r="21" spans="2:2" ht="11.25" customHeight="1">
      <c r="B21" s="26" t="s">
        <v>3837</v>
      </c>
    </row>
    <row r="22" spans="2:2" ht="11.25" customHeight="1">
      <c r="B22" s="27" t="s">
        <v>3838</v>
      </c>
    </row>
    <row r="24" spans="2:2" ht="22.5" customHeight="1">
      <c r="B24" s="74" t="s">
        <v>3839</v>
      </c>
    </row>
    <row r="26" spans="2:2" ht="11.25" customHeight="1">
      <c r="B26" s="26" t="s">
        <v>3840</v>
      </c>
    </row>
    <row r="27" spans="2:2" ht="22.5" customHeight="1">
      <c r="B27" s="73" t="s">
        <v>402</v>
      </c>
    </row>
    <row r="28" spans="2:2" ht="56.25" customHeight="1">
      <c r="B28" s="73" t="s">
        <v>3841</v>
      </c>
    </row>
    <row r="29" spans="2:2" ht="11.25" customHeight="1">
      <c r="B29" s="115" t="s">
        <v>3842</v>
      </c>
    </row>
    <row r="30" spans="2:2" ht="22.5" customHeight="1">
      <c r="B30" s="73" t="s">
        <v>3843</v>
      </c>
    </row>
    <row r="32" spans="2:2" ht="11.25" customHeight="1">
      <c r="B32" s="98" t="s">
        <v>3844</v>
      </c>
    </row>
    <row r="33" spans="1:2" ht="14.25" customHeight="1">
      <c r="A33" s="99">
        <v>1</v>
      </c>
      <c r="B33" s="100" t="s">
        <v>3845</v>
      </c>
    </row>
    <row r="34" spans="1:2" ht="14.25" customHeight="1">
      <c r="A34" s="99">
        <v>2</v>
      </c>
      <c r="B34" s="100" t="s">
        <v>3846</v>
      </c>
    </row>
    <row r="35" spans="1:2" ht="11.25" customHeight="1">
      <c r="B35" s="98" t="s">
        <v>3847</v>
      </c>
    </row>
    <row r="36" spans="1:2" ht="11.25" customHeight="1">
      <c r="B36" s="100" t="s">
        <v>3848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271" t="s">
        <v>358</v>
      </c>
      <c r="I1" s="1271"/>
      <c r="V1" s="11" t="s">
        <v>14</v>
      </c>
    </row>
    <row r="2" spans="1:22" s="11" customFormat="1" ht="14.25" hidden="1" customHeight="1">
      <c r="C2" s="23"/>
      <c r="D2" s="1275" t="s">
        <v>109</v>
      </c>
      <c r="E2" s="1277"/>
      <c r="F2" s="890"/>
      <c r="G2" s="43" t="s">
        <v>109</v>
      </c>
      <c r="H2" s="217"/>
      <c r="I2" s="891"/>
      <c r="L2" s="68"/>
      <c r="M2" s="68"/>
      <c r="N2" s="68"/>
      <c r="O2" s="68" t="s">
        <v>388</v>
      </c>
      <c r="P2" s="68"/>
      <c r="Q2" s="68"/>
      <c r="R2" s="69" t="s">
        <v>387</v>
      </c>
      <c r="S2" s="69" t="s">
        <v>387</v>
      </c>
      <c r="T2" s="68"/>
      <c r="U2" s="68"/>
      <c r="V2" s="11">
        <v>0</v>
      </c>
    </row>
    <row r="3" spans="1:22" s="11" customFormat="1" ht="14.25" hidden="1" customHeight="1">
      <c r="C3" s="23"/>
      <c r="D3" s="1276"/>
      <c r="E3" s="1278"/>
      <c r="F3" s="155"/>
      <c r="G3" s="505"/>
      <c r="H3" s="505" t="s">
        <v>389</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362</v>
      </c>
      <c r="I5" s="406"/>
      <c r="J5" s="406"/>
      <c r="L5" s="68"/>
      <c r="M5" s="68"/>
      <c r="N5" s="68"/>
      <c r="O5" s="68"/>
      <c r="P5" s="68"/>
      <c r="Q5" s="68"/>
      <c r="R5" s="68"/>
      <c r="S5" s="68"/>
      <c r="T5" s="68"/>
      <c r="U5" s="68"/>
      <c r="V5" s="404">
        <v>5</v>
      </c>
    </row>
    <row r="6" spans="1:22" ht="29.25" customHeight="1">
      <c r="C6" s="23"/>
      <c r="D6" s="1274" t="s">
        <v>390</v>
      </c>
      <c r="E6" s="1274"/>
      <c r="F6" s="1274"/>
      <c r="G6" s="1274"/>
      <c r="H6" s="1274"/>
      <c r="I6" s="1274"/>
      <c r="J6" s="281"/>
      <c r="K6" s="156"/>
      <c r="V6" s="11">
        <v>28</v>
      </c>
    </row>
    <row r="7" spans="1:22" ht="18" customHeight="1">
      <c r="C7" s="23"/>
      <c r="D7" s="1246" t="str">
        <f>IF(org=0,"Не определено",org)</f>
        <v>Сургутское городское муниципальное унитарное предприятие "Горводоканал"</v>
      </c>
      <c r="E7" s="1246"/>
      <c r="F7" s="1246"/>
      <c r="G7" s="1246"/>
      <c r="H7" s="1246"/>
      <c r="I7" s="1246"/>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59" t="s">
        <v>306</v>
      </c>
      <c r="E10" s="1272"/>
      <c r="F10" s="1272"/>
      <c r="G10" s="1272"/>
      <c r="H10" s="1272"/>
      <c r="I10" s="1272"/>
      <c r="J10" s="1222" t="s">
        <v>307</v>
      </c>
      <c r="V10" s="11">
        <v>14</v>
      </c>
    </row>
    <row r="11" spans="1:22" ht="27.4" customHeight="1">
      <c r="C11" s="23"/>
      <c r="D11" s="1159" t="s">
        <v>88</v>
      </c>
      <c r="E11" s="1222" t="s">
        <v>105</v>
      </c>
      <c r="F11" s="1225" t="s">
        <v>88</v>
      </c>
      <c r="G11" s="1226"/>
      <c r="H11" s="1224" t="s">
        <v>391</v>
      </c>
      <c r="I11" s="1224" t="s">
        <v>392</v>
      </c>
      <c r="J11" s="1222"/>
      <c r="V11" s="11">
        <v>26</v>
      </c>
    </row>
    <row r="12" spans="1:22" ht="14.65" customHeight="1">
      <c r="C12" s="23"/>
      <c r="D12" s="1159"/>
      <c r="E12" s="1222"/>
      <c r="F12" s="1230"/>
      <c r="G12" s="1231"/>
      <c r="H12" s="1279"/>
      <c r="I12" s="1279"/>
      <c r="J12" s="1222"/>
      <c r="V12" s="11">
        <v>14</v>
      </c>
    </row>
    <row r="13" spans="1:22" s="203" customFormat="1" ht="11.25" hidden="1" customHeight="1">
      <c r="C13" s="286"/>
      <c r="D13" s="287" t="s">
        <v>382</v>
      </c>
      <c r="E13" s="287"/>
      <c r="F13" s="287"/>
      <c r="G13" s="287"/>
      <c r="H13" s="285"/>
      <c r="I13" s="285"/>
      <c r="J13" s="73"/>
      <c r="L13" s="68"/>
      <c r="M13" s="68"/>
      <c r="N13" s="68"/>
      <c r="O13" s="68"/>
      <c r="P13" s="68"/>
      <c r="Q13" s="68"/>
      <c r="R13" s="68"/>
      <c r="S13" s="68"/>
      <c r="T13" s="68"/>
      <c r="U13" s="68"/>
      <c r="V13" s="203">
        <v>0</v>
      </c>
    </row>
    <row r="14" spans="1:22" ht="14.65" customHeight="1">
      <c r="A14" s="11"/>
      <c r="C14" s="23"/>
      <c r="D14" s="1275" t="s">
        <v>109</v>
      </c>
      <c r="E14" s="1277"/>
      <c r="F14" s="890"/>
      <c r="G14" s="43" t="s">
        <v>109</v>
      </c>
      <c r="H14" s="217"/>
      <c r="I14" s="891"/>
      <c r="J14" s="1209" t="s">
        <v>393</v>
      </c>
      <c r="K14" s="11"/>
      <c r="R14" s="69" t="s">
        <v>387</v>
      </c>
      <c r="S14" s="69" t="s">
        <v>387</v>
      </c>
      <c r="V14" s="11">
        <v>14</v>
      </c>
    </row>
    <row r="15" spans="1:22" ht="14.65" customHeight="1">
      <c r="A15" s="11"/>
      <c r="C15" s="23"/>
      <c r="D15" s="1276"/>
      <c r="E15" s="1278"/>
      <c r="F15" s="155"/>
      <c r="G15" s="505"/>
      <c r="H15" s="505" t="s">
        <v>389</v>
      </c>
      <c r="I15" s="182"/>
      <c r="J15" s="1210"/>
      <c r="K15" s="11"/>
      <c r="R15" s="69"/>
      <c r="S15" s="69"/>
      <c r="V15" s="11">
        <v>14</v>
      </c>
    </row>
    <row r="16" spans="1:22" ht="14.65" customHeight="1">
      <c r="A16" s="11"/>
      <c r="C16" s="23"/>
      <c r="D16" s="155"/>
      <c r="E16" s="505" t="s">
        <v>129</v>
      </c>
      <c r="F16" s="182"/>
      <c r="G16" s="182"/>
      <c r="H16" s="232"/>
      <c r="I16" s="232"/>
      <c r="J16" s="1211"/>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2242</vt:i4>
      </vt:variant>
    </vt:vector>
  </HeadingPairs>
  <TitlesOfParts>
    <vt:vector size="233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Екатерина Д. Торопко</cp:lastModifiedBy>
  <cp:lastPrinted>2013-08-29T08:11:20Z</cp:lastPrinted>
  <dcterms:created xsi:type="dcterms:W3CDTF">2004-05-21T07:18:45Z</dcterms:created>
  <dcterms:modified xsi:type="dcterms:W3CDTF">2026-04-29T10:58:01Z</dcterms:modified>
</cp:coreProperties>
</file>